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nna.jaentschi\Desktop\"/>
    </mc:Choice>
  </mc:AlternateContent>
  <xr:revisionPtr revIDLastSave="0" documentId="8_{05EE42C8-20D5-49DE-815B-1B3BD2375270}" xr6:coauthVersionLast="47" xr6:coauthVersionMax="47" xr10:uidLastSave="{00000000-0000-0000-0000-000000000000}"/>
  <bookViews>
    <workbookView xWindow="-120" yWindow="-120" windowWidth="29040" windowHeight="15720" xr2:uid="{00000000-000D-0000-FFFF-FFFF00000000}"/>
  </bookViews>
  <sheets>
    <sheet name="Deckblatt" sheetId="8" r:id="rId1"/>
    <sheet name="Eingaben Hauptkanal" sheetId="4" r:id="rId2"/>
    <sheet name="Dropdown Menüs" sheetId="5" r:id="rId3"/>
    <sheet name="Faktoren Abwasser" sheetId="2" r:id="rId4"/>
    <sheet name="Hilfsrechnungen&amp;Baustelleninfo" sheetId="1" r:id="rId5"/>
    <sheet name="Auswertung"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3" i="4" l="1"/>
  <c r="G296" i="4"/>
  <c r="B30" i="1"/>
  <c r="L29" i="2"/>
  <c r="L80" i="2" l="1"/>
  <c r="L81" i="2"/>
  <c r="L82" i="2"/>
  <c r="L83" i="2"/>
  <c r="L84" i="2"/>
  <c r="L85" i="2"/>
  <c r="L86" i="2"/>
  <c r="L87" i="2"/>
  <c r="L88" i="2"/>
  <c r="L89" i="2"/>
  <c r="L90" i="2"/>
  <c r="L91" i="2"/>
  <c r="L74" i="2"/>
  <c r="L75" i="2"/>
  <c r="L76" i="2"/>
  <c r="L77" i="2"/>
  <c r="L78" i="2"/>
  <c r="L68" i="2"/>
  <c r="L69" i="2"/>
  <c r="L70" i="2"/>
  <c r="L71" i="2"/>
  <c r="L72" i="2"/>
  <c r="L60" i="2"/>
  <c r="L61" i="2"/>
  <c r="L62" i="2"/>
  <c r="L63" i="2"/>
  <c r="L64" i="2"/>
  <c r="L65" i="2"/>
  <c r="L66" i="2"/>
  <c r="L56" i="2"/>
  <c r="L57" i="2"/>
  <c r="L58" i="2"/>
  <c r="J93" i="2"/>
  <c r="K93" i="2" s="1"/>
  <c r="J94" i="2"/>
  <c r="K94" i="2" s="1"/>
  <c r="J95" i="2"/>
  <c r="K95" i="2" s="1"/>
  <c r="J96" i="2"/>
  <c r="K96" i="2" s="1"/>
  <c r="J97" i="2"/>
  <c r="J98" i="2"/>
  <c r="J99" i="2"/>
  <c r="J100" i="2"/>
  <c r="K100" i="2" s="1"/>
  <c r="J101" i="2"/>
  <c r="J102" i="2"/>
  <c r="K102" i="2" s="1"/>
  <c r="J103" i="2"/>
  <c r="K103" i="2" s="1"/>
  <c r="J104" i="2"/>
  <c r="K104" i="2" s="1"/>
  <c r="J105" i="2"/>
  <c r="J106" i="2"/>
  <c r="K106" i="2" s="1"/>
  <c r="J107" i="2"/>
  <c r="J108" i="2"/>
  <c r="K108" i="2" s="1"/>
  <c r="J92" i="2"/>
  <c r="K97" i="2"/>
  <c r="K98" i="2"/>
  <c r="K99" i="2"/>
  <c r="K101" i="2"/>
  <c r="K105" i="2"/>
  <c r="K107" i="2"/>
  <c r="J80" i="2"/>
  <c r="K80" i="2" s="1"/>
  <c r="J81" i="2"/>
  <c r="K81" i="2" s="1"/>
  <c r="J82" i="2"/>
  <c r="K82" i="2" s="1"/>
  <c r="J83" i="2"/>
  <c r="K83" i="2" s="1"/>
  <c r="J84" i="2"/>
  <c r="K84" i="2" s="1"/>
  <c r="J85" i="2"/>
  <c r="K85" i="2" s="1"/>
  <c r="J86" i="2"/>
  <c r="K86" i="2" s="1"/>
  <c r="J87" i="2"/>
  <c r="K87" i="2" s="1"/>
  <c r="J88" i="2"/>
  <c r="K88" i="2" s="1"/>
  <c r="J89" i="2"/>
  <c r="K89" i="2" s="1"/>
  <c r="J90" i="2"/>
  <c r="K90" i="2" s="1"/>
  <c r="J91" i="2"/>
  <c r="K91" i="2" s="1"/>
  <c r="J74" i="2"/>
  <c r="K74" i="2" s="1"/>
  <c r="J75" i="2"/>
  <c r="K75" i="2" s="1"/>
  <c r="J76" i="2"/>
  <c r="K76" i="2" s="1"/>
  <c r="J77" i="2"/>
  <c r="K77" i="2" s="1"/>
  <c r="J78" i="2"/>
  <c r="K78" i="2" s="1"/>
  <c r="J68" i="2"/>
  <c r="K68" i="2" s="1"/>
  <c r="J69" i="2"/>
  <c r="K69" i="2" s="1"/>
  <c r="J70" i="2"/>
  <c r="K70" i="2" s="1"/>
  <c r="J71" i="2"/>
  <c r="K71" i="2" s="1"/>
  <c r="J72" i="2"/>
  <c r="K72" i="2" s="1"/>
  <c r="K60" i="2"/>
  <c r="K61" i="2"/>
  <c r="J60" i="2"/>
  <c r="J61" i="2"/>
  <c r="J62" i="2"/>
  <c r="K62" i="2" s="1"/>
  <c r="J63" i="2"/>
  <c r="K63" i="2" s="1"/>
  <c r="J64" i="2"/>
  <c r="K64" i="2" s="1"/>
  <c r="J65" i="2"/>
  <c r="K65" i="2" s="1"/>
  <c r="J66" i="2"/>
  <c r="K66" i="2" s="1"/>
  <c r="J56" i="2"/>
  <c r="K56" i="2" s="1"/>
  <c r="J57" i="2"/>
  <c r="K57" i="2" s="1"/>
  <c r="J58" i="2"/>
  <c r="K58" i="2" s="1"/>
  <c r="L43" i="2"/>
  <c r="L44" i="2"/>
  <c r="L45" i="2"/>
  <c r="L46" i="2"/>
  <c r="L47" i="2"/>
  <c r="L48" i="2"/>
  <c r="L49" i="2"/>
  <c r="L50" i="2"/>
  <c r="L51" i="2"/>
  <c r="L52" i="2"/>
  <c r="L53" i="2"/>
  <c r="L54" i="2"/>
  <c r="J43" i="2"/>
  <c r="K43" i="2" s="1"/>
  <c r="J44" i="2"/>
  <c r="K44" i="2" s="1"/>
  <c r="J45" i="2"/>
  <c r="K45" i="2" s="1"/>
  <c r="J46" i="2"/>
  <c r="K46" i="2" s="1"/>
  <c r="J47" i="2"/>
  <c r="K47" i="2" s="1"/>
  <c r="J48" i="2"/>
  <c r="K48" i="2" s="1"/>
  <c r="J49" i="2"/>
  <c r="K49" i="2" s="1"/>
  <c r="J50" i="2"/>
  <c r="K50" i="2" s="1"/>
  <c r="J51" i="2"/>
  <c r="K51" i="2" s="1"/>
  <c r="J52" i="2"/>
  <c r="K52" i="2" s="1"/>
  <c r="J53" i="2"/>
  <c r="K53" i="2" s="1"/>
  <c r="J54" i="2"/>
  <c r="K54" i="2" s="1"/>
  <c r="L30" i="2"/>
  <c r="L31" i="2"/>
  <c r="L32" i="2"/>
  <c r="L33" i="2"/>
  <c r="L34" i="2"/>
  <c r="L35" i="2"/>
  <c r="L36" i="2"/>
  <c r="L37" i="2"/>
  <c r="L38" i="2"/>
  <c r="L39" i="2"/>
  <c r="L40" i="2"/>
  <c r="L41" i="2"/>
  <c r="J36" i="2"/>
  <c r="K36" i="2" s="1"/>
  <c r="J37" i="2"/>
  <c r="K37" i="2" s="1"/>
  <c r="J38" i="2"/>
  <c r="K38" i="2" s="1"/>
  <c r="J39" i="2"/>
  <c r="K39" i="2" s="1"/>
  <c r="J40" i="2"/>
  <c r="K40" i="2" s="1"/>
  <c r="J41" i="2"/>
  <c r="K41" i="2" s="1"/>
  <c r="J31" i="2"/>
  <c r="K31" i="2" s="1"/>
  <c r="J32" i="2"/>
  <c r="K32" i="2" s="1"/>
  <c r="J33" i="2"/>
  <c r="K33" i="2" s="1"/>
  <c r="J34" i="2"/>
  <c r="K34" i="2" s="1"/>
  <c r="J35" i="2"/>
  <c r="K35" i="2" s="1"/>
  <c r="J30" i="2"/>
  <c r="D49" i="1" l="1" a="1"/>
  <c r="D49" i="1" s="1"/>
  <c r="E49" i="1" a="1"/>
  <c r="E49" i="1" s="1"/>
  <c r="F49" i="1" a="1"/>
  <c r="F49" i="1" s="1"/>
  <c r="F42" i="1" a="1"/>
  <c r="F42" i="1" s="1"/>
  <c r="E42" i="1" a="1"/>
  <c r="E42" i="1" s="1"/>
  <c r="D42" i="1" a="1"/>
  <c r="D42" i="1" s="1"/>
  <c r="C38" i="1" a="1"/>
  <c r="C38" i="1" s="1"/>
  <c r="D38" i="1" a="1"/>
  <c r="D38" i="1" s="1"/>
  <c r="E38" i="1" a="1"/>
  <c r="E38" i="1" s="1"/>
  <c r="F38" i="1" a="1"/>
  <c r="F38" i="1" s="1"/>
  <c r="F39" i="1" s="1" a="1"/>
  <c r="F39" i="1" s="1"/>
  <c r="G45" i="1"/>
  <c r="G46" i="1" s="1"/>
  <c r="G47" i="1" s="1" a="1"/>
  <c r="G47" i="1" s="1"/>
  <c r="F45" i="1"/>
  <c r="F46" i="1" s="1"/>
  <c r="F47" i="1" s="1" a="1"/>
  <c r="F47" i="1" s="1"/>
  <c r="E45" i="1"/>
  <c r="E46" i="1" s="1"/>
  <c r="E47" i="1" s="1" a="1"/>
  <c r="E47" i="1" s="1"/>
  <c r="D45" i="1"/>
  <c r="D46" i="1" s="1"/>
  <c r="D47" i="1" s="1" a="1"/>
  <c r="D47" i="1" s="1"/>
  <c r="C45" i="1"/>
  <c r="C46" i="1" s="1"/>
  <c r="C47" i="1" s="1" a="1"/>
  <c r="C47" i="1" s="1"/>
  <c r="B45" i="1"/>
  <c r="B46" i="1" s="1"/>
  <c r="B47" i="1" s="1" a="1"/>
  <c r="B47" i="1" s="1"/>
  <c r="B10" i="1"/>
  <c r="F296" i="4"/>
  <c r="E39" i="1" l="1" a="1"/>
  <c r="E39" i="1" s="1"/>
  <c r="D39" i="1" a="1"/>
  <c r="D39" i="1" s="1"/>
  <c r="C39" i="1" a="1"/>
  <c r="C39" i="1" s="1"/>
  <c r="C40" i="1" s="1" a="1"/>
  <c r="C40" i="1" s="1"/>
  <c r="C41" i="1" s="1" a="1"/>
  <c r="C41" i="1" s="1"/>
  <c r="C42" i="1" l="1" a="1"/>
  <c r="C42" i="1" s="1"/>
  <c r="B29" i="1" l="1"/>
  <c r="B31" i="1" l="1"/>
  <c r="F291" i="4" l="1"/>
  <c r="H66" i="4"/>
  <c r="I66" i="4"/>
  <c r="J66" i="4"/>
  <c r="B179" i="2"/>
  <c r="F66" i="4" s="1"/>
  <c r="F90" i="4"/>
  <c r="F108" i="4" s="1"/>
  <c r="F116" i="4"/>
  <c r="G66" i="4" l="1"/>
  <c r="K66" i="4" s="1"/>
  <c r="F98" i="4"/>
  <c r="H266" i="4" l="1"/>
  <c r="I266" i="4"/>
  <c r="J266" i="4"/>
  <c r="G252" i="4" a="1"/>
  <c r="G252" i="4" s="1"/>
  <c r="G259" i="4" s="1" a="1"/>
  <c r="G259" i="4" s="1"/>
  <c r="H252" i="4" a="1"/>
  <c r="H252" i="4" s="1"/>
  <c r="H259" i="4" s="1" a="1"/>
  <c r="H259" i="4" s="1"/>
  <c r="I252" i="4" a="1"/>
  <c r="I252" i="4" s="1"/>
  <c r="I259" i="4" s="1" a="1"/>
  <c r="I259" i="4" s="1"/>
  <c r="J252" i="4" a="1"/>
  <c r="J252" i="4" s="1"/>
  <c r="J259" i="4" s="1" a="1"/>
  <c r="J259" i="4" s="1"/>
  <c r="F252" i="4" a="1"/>
  <c r="F252" i="4" s="1"/>
  <c r="H251" i="4"/>
  <c r="H258" i="4" s="1" a="1"/>
  <c r="H258" i="4" s="1"/>
  <c r="I251" i="4"/>
  <c r="I258" i="4" s="1" a="1"/>
  <c r="I258" i="4" s="1"/>
  <c r="J251" i="4"/>
  <c r="J258" i="4" s="1" a="1"/>
  <c r="J258" i="4" s="1"/>
  <c r="G250" i="4" a="1"/>
  <c r="G250" i="4" s="1"/>
  <c r="G257" i="4" s="1" a="1"/>
  <c r="G257" i="4" s="1"/>
  <c r="H250" i="4" a="1"/>
  <c r="H250" i="4" s="1"/>
  <c r="H257" i="4" s="1" a="1"/>
  <c r="H257" i="4" s="1"/>
  <c r="I250" i="4" a="1"/>
  <c r="I250" i="4" s="1"/>
  <c r="I257" i="4" s="1" a="1"/>
  <c r="I257" i="4" s="1"/>
  <c r="J250" i="4" a="1"/>
  <c r="J250" i="4" s="1"/>
  <c r="J257" i="4" s="1" a="1"/>
  <c r="J257" i="4" s="1"/>
  <c r="F250" i="4" a="1"/>
  <c r="F250" i="4" s="1"/>
  <c r="H249" i="4"/>
  <c r="H256" i="4" s="1" a="1"/>
  <c r="H256" i="4" s="1"/>
  <c r="I249" i="4"/>
  <c r="I256" i="4" s="1" a="1"/>
  <c r="I256" i="4" s="1"/>
  <c r="J249" i="4"/>
  <c r="J256" i="4" s="1" a="1"/>
  <c r="J256" i="4" s="1"/>
  <c r="G248" i="4" a="1"/>
  <c r="G248" i="4" s="1"/>
  <c r="G255" i="4" s="1" a="1"/>
  <c r="G255" i="4" s="1"/>
  <c r="H248" i="4" a="1"/>
  <c r="H248" i="4" s="1"/>
  <c r="H255" i="4" s="1" a="1"/>
  <c r="H255" i="4" s="1"/>
  <c r="I248" i="4" a="1"/>
  <c r="I248" i="4" s="1"/>
  <c r="I255" i="4" s="1" a="1"/>
  <c r="I255" i="4" s="1"/>
  <c r="J248" i="4" a="1"/>
  <c r="J248" i="4" s="1"/>
  <c r="J255" i="4" s="1" a="1"/>
  <c r="J255" i="4" s="1"/>
  <c r="F249" i="4"/>
  <c r="F256" i="4" s="1" a="1"/>
  <c r="F256" i="4" s="1"/>
  <c r="G249" i="4"/>
  <c r="G256" i="4" s="1" a="1"/>
  <c r="G256" i="4" s="1"/>
  <c r="C308" i="2"/>
  <c r="C49" i="1" s="1" a="1"/>
  <c r="C49" i="1" s="1"/>
  <c r="G266" i="4" l="1"/>
  <c r="G251" i="4" l="1"/>
  <c r="G258" i="4" s="1" a="1"/>
  <c r="G258" i="4" s="1"/>
  <c r="G180" i="4" l="1"/>
  <c r="H180" i="4"/>
  <c r="I180" i="4"/>
  <c r="J180" i="4"/>
  <c r="F180" i="4"/>
  <c r="F212" i="4"/>
  <c r="F188" i="4"/>
  <c r="F137" i="4"/>
  <c r="F135" i="4" s="1"/>
  <c r="J137" i="4"/>
  <c r="I137" i="4"/>
  <c r="H137" i="4"/>
  <c r="G137" i="4"/>
  <c r="J118" i="4"/>
  <c r="H116" i="4"/>
  <c r="I116" i="4"/>
  <c r="J116" i="4"/>
  <c r="H117" i="4"/>
  <c r="I117" i="4"/>
  <c r="J117" i="4"/>
  <c r="H118" i="4"/>
  <c r="I118" i="4"/>
  <c r="H119" i="4"/>
  <c r="I119" i="4"/>
  <c r="J119" i="4"/>
  <c r="H120" i="4"/>
  <c r="I120" i="4"/>
  <c r="J120" i="4"/>
  <c r="H121" i="4"/>
  <c r="I121" i="4"/>
  <c r="J121" i="4"/>
  <c r="F91" i="4"/>
  <c r="F109" i="4" s="1"/>
  <c r="F72" i="4"/>
  <c r="F71" i="4"/>
  <c r="F80" i="4" s="1"/>
  <c r="G90" i="4"/>
  <c r="H90" i="4"/>
  <c r="I90" i="4"/>
  <c r="J90" i="4"/>
  <c r="G91" i="4"/>
  <c r="H91" i="4"/>
  <c r="I91" i="4"/>
  <c r="J91" i="4"/>
  <c r="G92" i="4"/>
  <c r="H92" i="4"/>
  <c r="I92" i="4"/>
  <c r="J92" i="4"/>
  <c r="G93" i="4"/>
  <c r="H93" i="4"/>
  <c r="I93" i="4"/>
  <c r="J93" i="4"/>
  <c r="G94" i="4"/>
  <c r="H94" i="4"/>
  <c r="I94" i="4"/>
  <c r="J94" i="4"/>
  <c r="G95" i="4"/>
  <c r="G103" i="4" s="1"/>
  <c r="H95" i="4"/>
  <c r="I95" i="4"/>
  <c r="J95" i="4"/>
  <c r="F95" i="4"/>
  <c r="F103" i="4" s="1"/>
  <c r="F94" i="4"/>
  <c r="F102" i="4" s="1"/>
  <c r="F93" i="4"/>
  <c r="F101" i="4" s="1"/>
  <c r="F92" i="4"/>
  <c r="F110" i="4" s="1"/>
  <c r="F76" i="4"/>
  <c r="F75" i="4"/>
  <c r="F74" i="4"/>
  <c r="F73" i="4"/>
  <c r="F100" i="4" l="1"/>
  <c r="F178" i="4"/>
  <c r="I115" i="4"/>
  <c r="H115" i="4"/>
  <c r="F99" i="4"/>
  <c r="J115" i="4"/>
  <c r="H71" i="4"/>
  <c r="I71" i="4"/>
  <c r="J71" i="4"/>
  <c r="G71" i="4"/>
  <c r="F144" i="4"/>
  <c r="G235" i="4"/>
  <c r="H235" i="4"/>
  <c r="I235" i="4"/>
  <c r="J235" i="4"/>
  <c r="F235" i="4"/>
  <c r="J247" i="4" l="1"/>
  <c r="H247" i="4"/>
  <c r="I247" i="4"/>
  <c r="G29" i="4" l="1"/>
  <c r="H29" i="4"/>
  <c r="I29" i="4"/>
  <c r="J29" i="4"/>
  <c r="D14" i="6"/>
  <c r="E14" i="6"/>
  <c r="F14" i="6"/>
  <c r="G14" i="6"/>
  <c r="C14" i="6"/>
  <c r="G192" i="4" l="1"/>
  <c r="H192" i="4"/>
  <c r="I192" i="4"/>
  <c r="J192" i="4"/>
  <c r="F192" i="4"/>
  <c r="G169" i="4"/>
  <c r="H169" i="4"/>
  <c r="I169" i="4"/>
  <c r="J169" i="4"/>
  <c r="F169" i="4"/>
  <c r="J166" i="4"/>
  <c r="G166" i="4"/>
  <c r="H166" i="4"/>
  <c r="I166" i="4"/>
  <c r="F166" i="4"/>
  <c r="G165" i="4"/>
  <c r="I165" i="4"/>
  <c r="G156" i="4"/>
  <c r="G159" i="4" s="1"/>
  <c r="H156" i="4"/>
  <c r="H159" i="4" s="1"/>
  <c r="I156" i="4"/>
  <c r="I159" i="4" s="1"/>
  <c r="J156" i="4"/>
  <c r="J159" i="4" s="1"/>
  <c r="G157" i="4"/>
  <c r="H157" i="4"/>
  <c r="I157" i="4"/>
  <c r="J157" i="4"/>
  <c r="F156" i="4"/>
  <c r="F159" i="4" s="1"/>
  <c r="G147" i="4"/>
  <c r="H147" i="4"/>
  <c r="I147" i="4"/>
  <c r="J147" i="4"/>
  <c r="F147" i="4"/>
  <c r="G144" i="4"/>
  <c r="H144" i="4"/>
  <c r="I144" i="4"/>
  <c r="J144" i="4"/>
  <c r="G143" i="4"/>
  <c r="I143" i="4"/>
  <c r="G135" i="4"/>
  <c r="H135" i="4"/>
  <c r="I135" i="4"/>
  <c r="J135" i="4"/>
  <c r="B219" i="2"/>
  <c r="F140" i="4" s="1"/>
  <c r="B220" i="2"/>
  <c r="F162" i="4" s="1"/>
  <c r="F157" i="4"/>
  <c r="F165" i="4" l="1"/>
  <c r="F143" i="4"/>
  <c r="K249" i="4" a="1"/>
  <c r="K249" i="4" s="1"/>
  <c r="F36" i="4" l="1"/>
  <c r="F29" i="4"/>
  <c r="K29" i="4" s="1" a="1"/>
  <c r="K29" i="4" s="1"/>
  <c r="G247" i="4" l="1"/>
  <c r="F131" i="4"/>
  <c r="G76" i="4" l="1"/>
  <c r="H76" i="4"/>
  <c r="I76" i="4"/>
  <c r="J76" i="4"/>
  <c r="G75" i="4"/>
  <c r="H75" i="4"/>
  <c r="I75" i="4"/>
  <c r="J75" i="4"/>
  <c r="G74" i="4"/>
  <c r="H74" i="4"/>
  <c r="I74" i="4"/>
  <c r="J74" i="4"/>
  <c r="G73" i="4"/>
  <c r="H73" i="4"/>
  <c r="I73" i="4"/>
  <c r="J73" i="4"/>
  <c r="G72" i="4"/>
  <c r="H72" i="4"/>
  <c r="I72" i="4"/>
  <c r="J72" i="4"/>
  <c r="H143" i="4" l="1"/>
  <c r="H165" i="4"/>
  <c r="B132" i="2" l="1"/>
  <c r="G36" i="4"/>
  <c r="F219" i="4"/>
  <c r="G219" i="4"/>
  <c r="H219" i="4"/>
  <c r="I219" i="4"/>
  <c r="J219" i="4"/>
  <c r="C88" i="1"/>
  <c r="D88" i="1"/>
  <c r="E88" i="1"/>
  <c r="F88" i="1"/>
  <c r="C89" i="1"/>
  <c r="E89" i="1"/>
  <c r="E92" i="1" s="1"/>
  <c r="F89" i="1"/>
  <c r="F92" i="1" s="1"/>
  <c r="B89" i="1"/>
  <c r="B88" i="1"/>
  <c r="C87" i="1"/>
  <c r="D87" i="1"/>
  <c r="E87" i="1"/>
  <c r="F87" i="1"/>
  <c r="B87" i="1"/>
  <c r="G27" i="4" l="1"/>
  <c r="B93" i="1"/>
  <c r="B92" i="1"/>
  <c r="B91" i="1"/>
  <c r="E93" i="1"/>
  <c r="C93" i="1"/>
  <c r="F91" i="1"/>
  <c r="F93" i="1"/>
  <c r="C91" i="1"/>
  <c r="E91" i="1"/>
  <c r="C92" i="1"/>
  <c r="I36" i="4" l="1"/>
  <c r="I27" i="4" s="1"/>
  <c r="H36" i="4"/>
  <c r="H27" i="4" s="1"/>
  <c r="J36" i="4"/>
  <c r="J27" i="4" s="1"/>
  <c r="F27" i="4"/>
  <c r="B94" i="1"/>
  <c r="K256" i="4" a="1"/>
  <c r="K256" i="4" s="1"/>
  <c r="E94" i="1"/>
  <c r="F94" i="1"/>
  <c r="C94" i="1"/>
  <c r="K36" i="4" l="1" a="1"/>
  <c r="K36" i="4" s="1"/>
  <c r="K27" i="4" a="1"/>
  <c r="K27" i="4" s="1"/>
  <c r="G234" i="4" l="1"/>
  <c r="H234" i="4"/>
  <c r="I234" i="4"/>
  <c r="J234" i="4"/>
  <c r="F234" i="4"/>
  <c r="L79" i="2"/>
  <c r="J79" i="2"/>
  <c r="L73" i="2"/>
  <c r="J73" i="2"/>
  <c r="L67" i="2"/>
  <c r="J67" i="2"/>
  <c r="L59" i="2"/>
  <c r="J59" i="2"/>
  <c r="L55" i="2"/>
  <c r="J55" i="2"/>
  <c r="L42" i="2"/>
  <c r="J42" i="2"/>
  <c r="K30" i="2"/>
  <c r="J29" i="2"/>
  <c r="E108" i="2"/>
  <c r="L108" i="2" s="1"/>
  <c r="E107" i="2"/>
  <c r="L107" i="2" s="1"/>
  <c r="E106" i="2"/>
  <c r="L106" i="2" s="1"/>
  <c r="E105" i="2"/>
  <c r="L105" i="2" s="1"/>
  <c r="E104" i="2"/>
  <c r="L104" i="2" s="1"/>
  <c r="E103" i="2"/>
  <c r="L103" i="2" s="1"/>
  <c r="E102" i="2"/>
  <c r="L102" i="2" s="1"/>
  <c r="E101" i="2"/>
  <c r="L101" i="2" s="1"/>
  <c r="E100" i="2"/>
  <c r="L100" i="2" s="1"/>
  <c r="E99" i="2"/>
  <c r="L99" i="2" s="1"/>
  <c r="E98" i="2"/>
  <c r="L98" i="2" s="1"/>
  <c r="E97" i="2"/>
  <c r="L97" i="2" s="1"/>
  <c r="E96" i="2"/>
  <c r="L96" i="2" s="1"/>
  <c r="E95" i="2"/>
  <c r="L95" i="2" s="1"/>
  <c r="E94" i="2"/>
  <c r="L94" i="2" s="1"/>
  <c r="E93" i="2"/>
  <c r="L93" i="2" s="1"/>
  <c r="E92" i="2"/>
  <c r="L92" i="2" s="1"/>
  <c r="K73" i="2" l="1"/>
  <c r="M73" i="2" a="1"/>
  <c r="K29" i="2"/>
  <c r="M29" i="2" s="1" a="1"/>
  <c r="K55" i="2"/>
  <c r="M55" i="2" a="1"/>
  <c r="M42" i="2" a="1"/>
  <c r="M79" i="2" a="1"/>
  <c r="K59" i="2"/>
  <c r="M59" i="2" a="1"/>
  <c r="K234" i="4"/>
  <c r="K67" i="2"/>
  <c r="K92" i="2"/>
  <c r="M92" i="2" s="1" a="1"/>
  <c r="K42" i="2"/>
  <c r="K79" i="2"/>
  <c r="M29" i="2" l="1"/>
  <c r="O29" i="2"/>
  <c r="R29" i="2" s="1"/>
  <c r="N29" i="2"/>
  <c r="M59" i="2"/>
  <c r="P59" i="2" s="1"/>
  <c r="O59" i="2"/>
  <c r="R59" i="2" s="1"/>
  <c r="N59" i="2"/>
  <c r="M79" i="2"/>
  <c r="P79" i="2" s="1"/>
  <c r="O79" i="2"/>
  <c r="R79" i="2" s="1"/>
  <c r="N79" i="2"/>
  <c r="Q79" i="2" s="1"/>
  <c r="M42" i="2"/>
  <c r="P42" i="2" s="1"/>
  <c r="N42" i="2"/>
  <c r="Q42" i="2" s="1"/>
  <c r="O42" i="2"/>
  <c r="R42" i="2" s="1"/>
  <c r="O73" i="2"/>
  <c r="R73" i="2" s="1"/>
  <c r="N73" i="2"/>
  <c r="M73" i="2"/>
  <c r="M92" i="2"/>
  <c r="P92" i="2" s="1"/>
  <c r="O92" i="2"/>
  <c r="R92" i="2" s="1"/>
  <c r="N92" i="2"/>
  <c r="Q92" i="2" s="1"/>
  <c r="M55" i="2"/>
  <c r="P55" i="2" s="1"/>
  <c r="O55" i="2"/>
  <c r="R55" i="2" s="1"/>
  <c r="N55" i="2"/>
  <c r="Q55" i="2" s="1"/>
  <c r="M67" i="2" a="1"/>
  <c r="Q59" i="2"/>
  <c r="Q29" i="2"/>
  <c r="P29" i="2"/>
  <c r="Q73" i="2"/>
  <c r="P73" i="2"/>
  <c r="F278" i="4"/>
  <c r="G278" i="4"/>
  <c r="H278" i="4"/>
  <c r="H282" i="4" s="1"/>
  <c r="I278" i="4"/>
  <c r="J278" i="4"/>
  <c r="J282" i="4" s="1"/>
  <c r="G291" i="4"/>
  <c r="H291" i="4"/>
  <c r="I291" i="4"/>
  <c r="J291" i="4"/>
  <c r="H296" i="4"/>
  <c r="I296" i="4"/>
  <c r="J296" i="4"/>
  <c r="G301" i="4"/>
  <c r="H301" i="4"/>
  <c r="I301" i="4"/>
  <c r="J301" i="4"/>
  <c r="F301" i="4"/>
  <c r="F299" i="4" s="1"/>
  <c r="G229" i="4"/>
  <c r="H229" i="4"/>
  <c r="I229" i="4"/>
  <c r="J229" i="4"/>
  <c r="F229" i="4"/>
  <c r="G212" i="4"/>
  <c r="H212" i="4"/>
  <c r="I212" i="4"/>
  <c r="J212" i="4"/>
  <c r="G216" i="4"/>
  <c r="H216" i="4"/>
  <c r="I216" i="4"/>
  <c r="J216" i="4"/>
  <c r="F216" i="4"/>
  <c r="G188" i="4"/>
  <c r="H188" i="4"/>
  <c r="I188" i="4"/>
  <c r="J188" i="4"/>
  <c r="H178" i="4"/>
  <c r="I178" i="4"/>
  <c r="J178" i="4"/>
  <c r="H140" i="4"/>
  <c r="H162" i="4"/>
  <c r="G162" i="4"/>
  <c r="M67" i="2" l="1"/>
  <c r="P67" i="2" s="1"/>
  <c r="O67" i="2"/>
  <c r="R67" i="2" s="1"/>
  <c r="N67" i="2"/>
  <c r="Q67" i="2" s="1"/>
  <c r="U29" i="2"/>
  <c r="G140" i="4"/>
  <c r="F289" i="4"/>
  <c r="I282" i="4"/>
  <c r="F282" i="4"/>
  <c r="G282" i="4"/>
  <c r="H125" i="4"/>
  <c r="G178" i="4"/>
  <c r="F125" i="4" l="1"/>
  <c r="F179" i="4"/>
  <c r="B223" i="2"/>
  <c r="B197" i="2"/>
  <c r="G85" i="4" l="1"/>
  <c r="G84" i="4"/>
  <c r="G83" i="4"/>
  <c r="G82" i="4"/>
  <c r="G81" i="4"/>
  <c r="G80" i="4"/>
  <c r="G228" i="4"/>
  <c r="H228" i="4"/>
  <c r="I228" i="4"/>
  <c r="J228" i="4"/>
  <c r="F228" i="4"/>
  <c r="K71" i="4" l="1" a="1"/>
  <c r="K71" i="4" s="1"/>
  <c r="F81" i="4"/>
  <c r="K72" i="4" a="1"/>
  <c r="K72" i="4" s="1"/>
  <c r="F83" i="4"/>
  <c r="K74" i="4" a="1"/>
  <c r="K74" i="4" s="1"/>
  <c r="F85" i="4"/>
  <c r="K76" i="4" a="1"/>
  <c r="K76" i="4" s="1"/>
  <c r="F82" i="4"/>
  <c r="K73" i="4" a="1"/>
  <c r="K73" i="4" s="1"/>
  <c r="F84" i="4"/>
  <c r="K75" i="4" a="1"/>
  <c r="K75" i="4" s="1"/>
  <c r="D11" i="6"/>
  <c r="E11" i="6"/>
  <c r="F11" i="6"/>
  <c r="G11" i="6"/>
  <c r="C11" i="6"/>
  <c r="B19" i="6"/>
  <c r="B7" i="6"/>
  <c r="B18" i="6"/>
  <c r="B6" i="6"/>
  <c r="B17" i="6"/>
  <c r="B5" i="6"/>
  <c r="B16" i="6"/>
  <c r="B4" i="6"/>
  <c r="B15" i="6"/>
  <c r="B3" i="6"/>
  <c r="D2" i="6"/>
  <c r="E2" i="6"/>
  <c r="F2" i="6"/>
  <c r="G2" i="6"/>
  <c r="C2" i="6"/>
  <c r="B134" i="2"/>
  <c r="B133" i="2" s="1"/>
  <c r="B147" i="2"/>
  <c r="B145" i="2"/>
  <c r="B143" i="2"/>
  <c r="B141" i="2"/>
  <c r="B139" i="2"/>
  <c r="B166" i="2"/>
  <c r="B167" i="2" s="1"/>
  <c r="B162" i="2" s="1"/>
  <c r="B116" i="2"/>
  <c r="B308" i="2" l="1"/>
  <c r="B242" i="2"/>
  <c r="B259" i="2"/>
  <c r="B267" i="2"/>
  <c r="B292" i="2"/>
  <c r="B289" i="2"/>
  <c r="B234" i="2"/>
  <c r="F185" i="4"/>
  <c r="F117" i="4"/>
  <c r="G119" i="4"/>
  <c r="F120" i="4"/>
  <c r="G120" i="4"/>
  <c r="G121" i="4"/>
  <c r="F121" i="4"/>
  <c r="F119" i="4"/>
  <c r="F118" i="4"/>
  <c r="G117" i="4"/>
  <c r="G118" i="4"/>
  <c r="B239" i="2"/>
  <c r="K250" i="4" a="1"/>
  <c r="K250" i="4" s="1"/>
  <c r="B264" i="2"/>
  <c r="F257" i="4" s="1" a="1"/>
  <c r="F257" i="4" s="1"/>
  <c r="B284" i="2"/>
  <c r="H11" i="6"/>
  <c r="F283" i="4"/>
  <c r="J283" i="4"/>
  <c r="G283" i="4"/>
  <c r="I283" i="4"/>
  <c r="H283" i="4"/>
  <c r="G279" i="4"/>
  <c r="G286" i="4" s="1"/>
  <c r="F279" i="4"/>
  <c r="F286" i="4" s="1"/>
  <c r="H279" i="4"/>
  <c r="H286" i="4" s="1"/>
  <c r="I279" i="4"/>
  <c r="I286" i="4" s="1"/>
  <c r="J279" i="4"/>
  <c r="J286" i="4" s="1"/>
  <c r="G201" i="4"/>
  <c r="I201" i="4"/>
  <c r="F201" i="4"/>
  <c r="C18" i="2"/>
  <c r="C14" i="2"/>
  <c r="C17" i="2"/>
  <c r="H185" i="4"/>
  <c r="I185" i="4"/>
  <c r="G185" i="4"/>
  <c r="B135" i="2"/>
  <c r="F259" i="4" l="1" a="1"/>
  <c r="F259" i="4" s="1"/>
  <c r="G38" i="1" a="1"/>
  <c r="G38" i="1" s="1"/>
  <c r="B38" i="1" a="1"/>
  <c r="B38" i="1" s="1"/>
  <c r="F248" i="4" a="1"/>
  <c r="F248" i="4" s="1"/>
  <c r="K248" i="4" s="1" a="1"/>
  <c r="K248" i="4" s="1"/>
  <c r="F40" i="1" a="1"/>
  <c r="F40" i="1" s="1"/>
  <c r="F41" i="1" s="1" a="1"/>
  <c r="F41" i="1" s="1"/>
  <c r="D40" i="1" a="1"/>
  <c r="D40" i="1" s="1"/>
  <c r="D41" i="1" s="1" a="1"/>
  <c r="D41" i="1" s="1"/>
  <c r="E40" i="1" a="1"/>
  <c r="E40" i="1" s="1"/>
  <c r="E41" i="1" s="1" a="1"/>
  <c r="E41" i="1" s="1"/>
  <c r="K252" i="4" a="1"/>
  <c r="K252" i="4" s="1"/>
  <c r="K118" i="4" a="1"/>
  <c r="K118" i="4" s="1"/>
  <c r="K119" i="4" a="1"/>
  <c r="K119" i="4" s="1"/>
  <c r="K117" i="4" a="1"/>
  <c r="K117" i="4" s="1"/>
  <c r="K121" i="4" a="1"/>
  <c r="K121" i="4" s="1"/>
  <c r="K120" i="4" a="1"/>
  <c r="K120" i="4" s="1"/>
  <c r="G275" i="4"/>
  <c r="H275" i="4"/>
  <c r="I275" i="4"/>
  <c r="F275" i="4"/>
  <c r="J275" i="4"/>
  <c r="F115" i="4"/>
  <c r="C29" i="2"/>
  <c r="D80" i="2"/>
  <c r="D81" i="2" s="1"/>
  <c r="C79" i="2"/>
  <c r="D74" i="2"/>
  <c r="D75" i="2" s="1"/>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13" i="2"/>
  <c r="B11" i="2"/>
  <c r="B39" i="1" l="1" a="1"/>
  <c r="B39" i="1" s="1"/>
  <c r="G39" i="1" a="1"/>
  <c r="G39" i="1" s="1"/>
  <c r="G40" i="1" s="1" a="1"/>
  <c r="G40" i="1" s="1"/>
  <c r="G41" i="1" s="1" a="1"/>
  <c r="G41" i="1" s="1"/>
  <c r="F255" i="4" a="1"/>
  <c r="F255" i="4" s="1"/>
  <c r="K255" i="4" s="1" a="1"/>
  <c r="K255" i="4" s="1"/>
  <c r="G116" i="4"/>
  <c r="G115" i="4" s="1"/>
  <c r="H158" i="4"/>
  <c r="I158" i="4"/>
  <c r="G158" i="4"/>
  <c r="J158" i="4"/>
  <c r="F158" i="4"/>
  <c r="K259" i="4" a="1"/>
  <c r="K259" i="4" s="1"/>
  <c r="C80" i="2"/>
  <c r="G239" i="4"/>
  <c r="I239" i="4" a="1"/>
  <c r="I239" i="4" s="1"/>
  <c r="J239" i="4" a="1"/>
  <c r="J239" i="4" s="1"/>
  <c r="H239" i="4" a="1"/>
  <c r="H239" i="4" s="1"/>
  <c r="K257" i="4" a="1"/>
  <c r="K257" i="4" s="1"/>
  <c r="D82" i="2"/>
  <c r="C82" i="2" s="1"/>
  <c r="C81" i="2"/>
  <c r="D76" i="2"/>
  <c r="C75" i="2"/>
  <c r="C74" i="2"/>
  <c r="G42" i="1" l="1" a="1"/>
  <c r="G42" i="1" s="1"/>
  <c r="G49" i="1" s="1" a="1"/>
  <c r="G49" i="1" s="1"/>
  <c r="B17" i="1" s="1"/>
  <c r="B40" i="1" a="1"/>
  <c r="B40" i="1" s="1"/>
  <c r="B41" i="1" s="1" a="1"/>
  <c r="B41" i="1" s="1"/>
  <c r="B42" i="1" s="1" a="1"/>
  <c r="B42" i="1" s="1"/>
  <c r="K116" i="4" a="1"/>
  <c r="K116" i="4" s="1"/>
  <c r="D83" i="2"/>
  <c r="C83" i="2" s="1"/>
  <c r="C76" i="2"/>
  <c r="D77" i="2"/>
  <c r="F266" i="4" l="1"/>
  <c r="F251" i="4"/>
  <c r="B49" i="1" a="1"/>
  <c r="B49" i="1" s="1"/>
  <c r="D91" i="2"/>
  <c r="C91" i="2" s="1"/>
  <c r="D84" i="2"/>
  <c r="C84" i="2" s="1"/>
  <c r="D78" i="2"/>
  <c r="C78" i="2" s="1"/>
  <c r="C77" i="2"/>
  <c r="D85" i="2"/>
  <c r="K251" i="4" l="1" a="1"/>
  <c r="K251" i="4" s="1"/>
  <c r="F258" i="4" a="1"/>
  <c r="F258" i="4" s="1"/>
  <c r="F247" i="4"/>
  <c r="D86" i="2"/>
  <c r="C85" i="2"/>
  <c r="F239" i="4" l="1"/>
  <c r="K239" i="4" s="1" a="1"/>
  <c r="K239" i="4" s="1"/>
  <c r="K258" i="4" a="1"/>
  <c r="K258" i="4" s="1"/>
  <c r="F244" i="4"/>
  <c r="F263" i="4" s="1"/>
  <c r="K247" i="4" a="1"/>
  <c r="K247" i="4" s="1"/>
  <c r="D87" i="2"/>
  <c r="C86" i="2"/>
  <c r="C87" i="2" l="1"/>
  <c r="D88" i="2"/>
  <c r="C88" i="2" l="1"/>
  <c r="D89" i="2"/>
  <c r="C89" i="2" l="1"/>
  <c r="D90" i="2"/>
  <c r="C90" i="2" s="1"/>
  <c r="G227" i="4" l="1"/>
  <c r="I227" i="4"/>
  <c r="J227" i="4"/>
  <c r="F227" i="4"/>
  <c r="F231" i="4" s="1"/>
  <c r="J299" i="4"/>
  <c r="I299" i="4"/>
  <c r="H299" i="4"/>
  <c r="G299" i="4"/>
  <c r="F226" i="4" l="1"/>
  <c r="J231" i="4"/>
  <c r="J226" i="4"/>
  <c r="I226" i="4"/>
  <c r="I231" i="4"/>
  <c r="G226" i="4"/>
  <c r="G231" i="4"/>
  <c r="J289" i="4"/>
  <c r="K278" i="4"/>
  <c r="I289" i="4"/>
  <c r="K282" i="4"/>
  <c r="H289" i="4"/>
  <c r="K299" i="4"/>
  <c r="F277" i="4"/>
  <c r="I281" i="4"/>
  <c r="I270" i="4" s="1"/>
  <c r="K229" i="4"/>
  <c r="G289" i="4"/>
  <c r="H277" i="4"/>
  <c r="J277" i="4"/>
  <c r="G281" i="4"/>
  <c r="G270" i="4" s="1"/>
  <c r="H281" i="4"/>
  <c r="H270" i="4" s="1"/>
  <c r="J281" i="4"/>
  <c r="J270" i="4" s="1"/>
  <c r="G277" i="4"/>
  <c r="I277" i="4"/>
  <c r="K279" i="4"/>
  <c r="K270" i="4" s="1"/>
  <c r="K291" i="4"/>
  <c r="K283" i="4"/>
  <c r="K301" i="4"/>
  <c r="F224" i="4" l="1"/>
  <c r="I268" i="4"/>
  <c r="J268" i="4"/>
  <c r="K289" i="4"/>
  <c r="F281" i="4"/>
  <c r="F270" i="4" s="1"/>
  <c r="F268" i="4" s="1"/>
  <c r="H268" i="4"/>
  <c r="K277" i="4"/>
  <c r="K286" i="4"/>
  <c r="G268" i="4"/>
  <c r="K281" i="4"/>
  <c r="K268" i="4" l="1"/>
  <c r="J244" i="4" l="1"/>
  <c r="J263" i="4" s="1"/>
  <c r="H244" i="4"/>
  <c r="H263" i="4" s="1"/>
  <c r="H237" i="4" s="1"/>
  <c r="I244" i="4"/>
  <c r="I263" i="4" s="1"/>
  <c r="F237" i="4" l="1"/>
  <c r="F222" i="4" s="1"/>
  <c r="K266" i="4" a="1"/>
  <c r="K266" i="4" s="1"/>
  <c r="J237" i="4"/>
  <c r="I237" i="4"/>
  <c r="G244" i="4"/>
  <c r="G263" i="4" s="1"/>
  <c r="K263" i="4" l="1" a="1"/>
  <c r="K263" i="4" s="1"/>
  <c r="K237" i="4" s="1"/>
  <c r="G237" i="4"/>
  <c r="J207" i="4" l="1"/>
  <c r="I207" i="4"/>
  <c r="H207" i="4"/>
  <c r="G207" i="4"/>
  <c r="I205" i="4"/>
  <c r="I204" i="4" s="1"/>
  <c r="G179" i="4"/>
  <c r="G131" i="4"/>
  <c r="B82" i="4"/>
  <c r="B92" i="4" s="1"/>
  <c r="B100" i="4" s="1"/>
  <c r="B110" i="4" s="1"/>
  <c r="B118" i="4" s="1"/>
  <c r="B83" i="4"/>
  <c r="B93" i="4" s="1"/>
  <c r="B101" i="4" s="1"/>
  <c r="B111" i="4" s="1"/>
  <c r="B119" i="4" s="1"/>
  <c r="B81" i="4"/>
  <c r="B91" i="4" s="1"/>
  <c r="B99" i="4" s="1"/>
  <c r="B109" i="4" s="1"/>
  <c r="B117" i="4" s="1"/>
  <c r="B80" i="4"/>
  <c r="B90" i="4" s="1"/>
  <c r="B98" i="4" s="1"/>
  <c r="B108" i="4" s="1"/>
  <c r="B116" i="4" s="1"/>
  <c r="J85" i="4"/>
  <c r="H85" i="4"/>
  <c r="H84" i="4"/>
  <c r="H83" i="4"/>
  <c r="J82" i="4"/>
  <c r="H82" i="4"/>
  <c r="I80" i="4"/>
  <c r="H80" i="4"/>
  <c r="K21" i="4"/>
  <c r="K115" i="4" l="1" a="1"/>
  <c r="K115" i="4" s="1"/>
  <c r="J143" i="4"/>
  <c r="J165" i="4"/>
  <c r="I140" i="4"/>
  <c r="I162" i="4"/>
  <c r="I83" i="4"/>
  <c r="J80" i="4"/>
  <c r="K80" i="4" s="1" a="1"/>
  <c r="K80" i="4" s="1"/>
  <c r="I81" i="4"/>
  <c r="I84" i="4"/>
  <c r="H196" i="4"/>
  <c r="F112" i="4"/>
  <c r="I196" i="4"/>
  <c r="J83" i="4"/>
  <c r="H81" i="4"/>
  <c r="J81" i="4"/>
  <c r="J84" i="4"/>
  <c r="I82" i="4"/>
  <c r="K82" i="4" s="1" a="1"/>
  <c r="K82" i="4" s="1"/>
  <c r="I85" i="4"/>
  <c r="K85" i="4" s="1" a="1"/>
  <c r="K85" i="4" s="1"/>
  <c r="G125" i="4"/>
  <c r="G113" i="4"/>
  <c r="G100" i="4"/>
  <c r="G110" i="4"/>
  <c r="G101" i="4"/>
  <c r="G111" i="4"/>
  <c r="G99" i="4"/>
  <c r="G109" i="4"/>
  <c r="K219" i="4"/>
  <c r="K192" i="4"/>
  <c r="K212" i="4"/>
  <c r="H131" i="4"/>
  <c r="I131" i="4"/>
  <c r="J131" i="4"/>
  <c r="K216" i="4"/>
  <c r="F207" i="4"/>
  <c r="K207" i="4" s="1"/>
  <c r="D4" i="6"/>
  <c r="K135" i="4"/>
  <c r="K128" i="4"/>
  <c r="G4" i="6"/>
  <c r="E4" i="6"/>
  <c r="F4" i="6"/>
  <c r="C4" i="6"/>
  <c r="K94" i="4" l="1" a="1"/>
  <c r="K94" i="4" s="1"/>
  <c r="K83" i="4" a="1"/>
  <c r="K83" i="4" s="1"/>
  <c r="K84" i="4" a="1"/>
  <c r="K84" i="4" s="1"/>
  <c r="K91" i="4" a="1"/>
  <c r="K91" i="4" s="1"/>
  <c r="K90" i="4" a="1"/>
  <c r="K90" i="4" s="1"/>
  <c r="K92" i="4" a="1"/>
  <c r="K92" i="4" s="1"/>
  <c r="K93" i="4" a="1"/>
  <c r="K93" i="4" s="1"/>
  <c r="H78" i="4"/>
  <c r="H65" i="4" s="1"/>
  <c r="K81" i="4" a="1"/>
  <c r="K81" i="4" s="1"/>
  <c r="K95" i="4" a="1"/>
  <c r="K95" i="4" s="1"/>
  <c r="I125" i="4"/>
  <c r="C16" i="6"/>
  <c r="H4" i="6" a="1"/>
  <c r="H4" i="6" s="1"/>
  <c r="J140" i="4"/>
  <c r="K140" i="4" s="1"/>
  <c r="J162" i="4"/>
  <c r="K162" i="4" s="1"/>
  <c r="K130" i="4"/>
  <c r="H100" i="4"/>
  <c r="H110" i="4"/>
  <c r="J113" i="4"/>
  <c r="J103" i="4"/>
  <c r="J102" i="4"/>
  <c r="J112" i="4"/>
  <c r="I112" i="4"/>
  <c r="I102" i="4"/>
  <c r="I108" i="4"/>
  <c r="I98" i="4"/>
  <c r="H99" i="4"/>
  <c r="H109" i="4"/>
  <c r="I99" i="4"/>
  <c r="I109" i="4"/>
  <c r="J99" i="4"/>
  <c r="J109" i="4"/>
  <c r="H102" i="4"/>
  <c r="H112" i="4"/>
  <c r="G196" i="4"/>
  <c r="H111" i="4"/>
  <c r="H101" i="4"/>
  <c r="H108" i="4"/>
  <c r="H98" i="4"/>
  <c r="F111" i="4"/>
  <c r="F113" i="4"/>
  <c r="I103" i="4"/>
  <c r="I113" i="4"/>
  <c r="J101" i="4"/>
  <c r="J111" i="4"/>
  <c r="J108" i="4"/>
  <c r="J98" i="4"/>
  <c r="F196" i="4"/>
  <c r="J110" i="4"/>
  <c r="J100" i="4"/>
  <c r="H103" i="4"/>
  <c r="H113" i="4"/>
  <c r="I183" i="4"/>
  <c r="I100" i="4"/>
  <c r="I110" i="4"/>
  <c r="I111" i="4"/>
  <c r="I101" i="4"/>
  <c r="G98" i="4"/>
  <c r="G108" i="4"/>
  <c r="G102" i="4"/>
  <c r="G112" i="4"/>
  <c r="G78" i="4"/>
  <c r="G65" i="4" s="1"/>
  <c r="G16" i="6"/>
  <c r="F16" i="6"/>
  <c r="E16" i="6"/>
  <c r="D16" i="6"/>
  <c r="I78" i="4"/>
  <c r="I65" i="4" s="1"/>
  <c r="J78" i="4"/>
  <c r="J65" i="4" s="1"/>
  <c r="F78" i="4"/>
  <c r="K178" i="4"/>
  <c r="F65" i="4" l="1"/>
  <c r="F12" i="4"/>
  <c r="K65" i="4" a="1"/>
  <c r="K65" i="4" s="1"/>
  <c r="K112" i="4" a="1"/>
  <c r="K112" i="4" s="1"/>
  <c r="I123" i="4"/>
  <c r="K125" i="4"/>
  <c r="K108" i="4" a="1"/>
  <c r="K108" i="4" s="1"/>
  <c r="K110" i="4" a="1"/>
  <c r="K110" i="4" s="1"/>
  <c r="K101" i="4" a="1"/>
  <c r="K101" i="4" s="1"/>
  <c r="K111" i="4" a="1"/>
  <c r="K111" i="4" s="1"/>
  <c r="K102" i="4" a="1"/>
  <c r="K102" i="4" s="1"/>
  <c r="K98" i="4" a="1"/>
  <c r="K98" i="4" s="1"/>
  <c r="K99" i="4" a="1"/>
  <c r="K99" i="4" s="1"/>
  <c r="K113" i="4" a="1"/>
  <c r="K113" i="4" s="1"/>
  <c r="K78" i="4" a="1"/>
  <c r="K78" i="4" s="1"/>
  <c r="K100" i="4" a="1"/>
  <c r="K100" i="4" s="1"/>
  <c r="K103" i="4" a="1"/>
  <c r="K103" i="4" s="1"/>
  <c r="K109" i="4" a="1"/>
  <c r="K109" i="4" s="1"/>
  <c r="J125" i="4"/>
  <c r="I97" i="4"/>
  <c r="J106" i="4"/>
  <c r="J97" i="4"/>
  <c r="G97" i="4"/>
  <c r="F97" i="4"/>
  <c r="I106" i="4"/>
  <c r="H16" i="6"/>
  <c r="H106" i="4"/>
  <c r="H97" i="4"/>
  <c r="F106" i="4"/>
  <c r="J224" i="4"/>
  <c r="J222" i="4" s="1"/>
  <c r="G7" i="6" s="1"/>
  <c r="F205" i="4"/>
  <c r="F204" i="4" s="1"/>
  <c r="F183" i="4" s="1"/>
  <c r="F123" i="4" s="1"/>
  <c r="F24" i="4" s="1"/>
  <c r="G224" i="4"/>
  <c r="G222" i="4" s="1"/>
  <c r="G106" i="4"/>
  <c r="I24" i="4" l="1"/>
  <c r="F3" i="6" s="1"/>
  <c r="F15" i="6" s="1"/>
  <c r="F20" i="6" s="1"/>
  <c r="F88" i="4"/>
  <c r="F42" i="4" s="1"/>
  <c r="I124" i="4"/>
  <c r="F6" i="6"/>
  <c r="F18" i="6" s="1"/>
  <c r="J88" i="4"/>
  <c r="K106" i="4" a="1"/>
  <c r="K106" i="4" s="1"/>
  <c r="I88" i="4"/>
  <c r="K97" i="4" a="1"/>
  <c r="K97" i="4" s="1"/>
  <c r="D7" i="6"/>
  <c r="G88" i="4"/>
  <c r="H88" i="4"/>
  <c r="H42" i="4" s="1"/>
  <c r="G205" i="4"/>
  <c r="G204" i="4" s="1"/>
  <c r="G42" i="4" l="1"/>
  <c r="D5" i="6" s="1"/>
  <c r="D17" i="6" s="1"/>
  <c r="I42" i="4"/>
  <c r="F5" i="6" s="1"/>
  <c r="F17" i="6" s="1"/>
  <c r="J42" i="4"/>
  <c r="G5" i="6" s="1"/>
  <c r="G17" i="6" s="1"/>
  <c r="K88" i="4"/>
  <c r="C5" i="6"/>
  <c r="C17" i="6" s="1"/>
  <c r="K42" i="4" a="1"/>
  <c r="K42" i="4" s="1"/>
  <c r="K188" i="4"/>
  <c r="E5" i="6"/>
  <c r="E17" i="6" s="1"/>
  <c r="H5" i="6" l="1" a="1"/>
  <c r="H5" i="6" s="1"/>
  <c r="H17" i="6" s="1"/>
  <c r="C7" i="6"/>
  <c r="K198" i="4"/>
  <c r="J196" i="4"/>
  <c r="K196" i="4" s="1"/>
  <c r="G123" i="4"/>
  <c r="G24" i="4" s="1"/>
  <c r="C3" i="6" l="1"/>
  <c r="D3" i="6"/>
  <c r="G124" i="4"/>
  <c r="D6" i="6"/>
  <c r="D18" i="6" s="1"/>
  <c r="F124" i="4"/>
  <c r="C6" i="6"/>
  <c r="G19" i="6"/>
  <c r="C19" i="6"/>
  <c r="D19" i="6"/>
  <c r="D15" i="6" l="1"/>
  <c r="D8" i="6"/>
  <c r="C15" i="6"/>
  <c r="C8" i="6"/>
  <c r="F11" i="4"/>
  <c r="F13" i="4" s="1"/>
  <c r="G11" i="4"/>
  <c r="G13" i="4" s="1"/>
  <c r="D20" i="6"/>
  <c r="C18" i="6"/>
  <c r="C20" i="6" l="1"/>
  <c r="J201" i="4"/>
  <c r="J205" i="4"/>
  <c r="J204" i="4" s="1"/>
  <c r="H205" i="4" l="1"/>
  <c r="K202" i="4"/>
  <c r="H201" i="4"/>
  <c r="K201" i="4" l="1"/>
  <c r="H204" i="4"/>
  <c r="K204" i="4" s="1"/>
  <c r="K205" i="4"/>
  <c r="H183" i="4" l="1"/>
  <c r="H123" i="4" s="1"/>
  <c r="H24" i="4" s="1"/>
  <c r="E3" i="6" l="1"/>
  <c r="E6" i="6"/>
  <c r="H124" i="4"/>
  <c r="E15" i="6" l="1"/>
  <c r="E20" i="6" s="1"/>
  <c r="E18" i="6"/>
  <c r="J185" i="4" l="1"/>
  <c r="K185" i="4" l="1"/>
  <c r="J183" i="4"/>
  <c r="K183" i="4" s="1"/>
  <c r="J123" i="4" l="1"/>
  <c r="J24" i="4" s="1"/>
  <c r="G3" i="6" l="1"/>
  <c r="H3" i="6" s="1" a="1"/>
  <c r="H3" i="6" s="1"/>
  <c r="H15" i="6" s="1"/>
  <c r="K123" i="4" a="1"/>
  <c r="K123" i="4" s="1"/>
  <c r="G6" i="6"/>
  <c r="H6" i="6" s="1" a="1"/>
  <c r="H6" i="6" s="1"/>
  <c r="J124" i="4"/>
  <c r="G15" i="6" l="1"/>
  <c r="G20" i="6" s="1"/>
  <c r="K24" i="4"/>
  <c r="G8" i="6"/>
  <c r="J11" i="4"/>
  <c r="J13" i="4" s="1"/>
  <c r="G18" i="6"/>
  <c r="H18" i="6"/>
  <c r="D89" i="1"/>
  <c r="D91" i="1" s="1"/>
  <c r="H227" i="4"/>
  <c r="H231" i="4" l="1"/>
  <c r="K231" i="4" s="1"/>
  <c r="H226" i="4"/>
  <c r="D92" i="1"/>
  <c r="D93" i="1"/>
  <c r="I224" i="4"/>
  <c r="H224" i="4" l="1"/>
  <c r="H222" i="4" s="1"/>
  <c r="K226" i="4"/>
  <c r="D94" i="1"/>
  <c r="I222" i="4"/>
  <c r="F7" i="6" s="1"/>
  <c r="K224" i="4" l="1"/>
  <c r="E7" i="6"/>
  <c r="H11" i="4"/>
  <c r="H13" i="4" s="1"/>
  <c r="K222" i="4" a="1"/>
  <c r="K222" i="4" s="1"/>
  <c r="I11" i="4"/>
  <c r="I13" i="4" s="1"/>
  <c r="F8" i="6"/>
  <c r="F19" i="6"/>
  <c r="E19" i="6" l="1"/>
  <c r="E8" i="6"/>
  <c r="H7" i="6" a="1"/>
  <c r="H7" i="6" s="1"/>
  <c r="H19" i="6" s="1"/>
  <c r="H20" i="6" s="1"/>
  <c r="K11" i="4" a="1"/>
  <c r="K11" i="4" s="1"/>
  <c r="K13" i="4" s="1"/>
  <c r="H8" i="6" l="1" a="1"/>
  <c r="H8" i="6" s="1"/>
  <c r="I3" i="6" s="1"/>
  <c r="I15" i="6" s="1"/>
  <c r="I6" i="6" l="1"/>
  <c r="I18" i="6" s="1"/>
  <c r="I7" i="6"/>
  <c r="I19" i="6" s="1"/>
  <c r="I5" i="6"/>
  <c r="I17" i="6" s="1"/>
  <c r="I8" i="6"/>
  <c r="I20" i="6" s="1"/>
  <c r="I4" i="6"/>
  <c r="I1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Stefan Böttger | TILIA</author>
  </authors>
  <commentList>
    <comment ref="B231" authorId="0" shapeId="0" xr:uid="{DBE839E3-C02F-4E26-9898-1E6DFBB60EEE}">
      <text>
        <r>
          <rPr>
            <sz val="9"/>
            <color indexed="81"/>
            <rFont val="Segoe UI"/>
            <family val="2"/>
          </rPr>
          <t>Transport von Hertseller zu Zwischenlager enthalten in THG-Emissionen von Rormaterial</t>
        </r>
      </text>
    </comment>
    <comment ref="B296" authorId="0" shapeId="0" xr:uid="{57A8159F-8A4C-49BD-B6DD-761C11DFB340}">
      <text>
        <r>
          <rPr>
            <sz val="9"/>
            <color indexed="81"/>
            <rFont val="Segoe UI"/>
            <family val="2"/>
          </rPr>
          <t>Transport von Hersteller zu Zwischenlager enthalten in THG-Emissionen von Rohrmaterial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Stefan Böttger | TILIA</author>
    <author>tc={68081B36-9BFF-4FA8-805C-5CE14AB4A914}</author>
    <author>tc={96E4F70E-8189-49E7-A09F-781C1C565D62}</author>
  </authors>
  <commentList>
    <comment ref="C14" authorId="0" shapeId="0" xr:uid="{9FB4AA6D-197B-4224-B282-E67E375411DA}">
      <text>
        <r>
          <rPr>
            <sz val="9"/>
            <color indexed="81"/>
            <rFont val="Segoe UI"/>
            <family val="2"/>
          </rPr>
          <t xml:space="preserve">
keine Angabe in Ökobaudat</t>
        </r>
      </text>
    </comment>
    <comment ref="A95" authorId="1" shapeId="0" xr:uid="{68081B36-9BFF-4FA8-805C-5CE14AB4A91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Bis hierhin Vollwand</t>
      </text>
    </comment>
    <comment ref="A96" authorId="2" shapeId="0" xr:uid="{96E4F70E-8189-49E7-A09F-781C1C565D62}">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Ab hier Wickelrohr. Datengrundlage von Firma Frank GmbH</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<sst xmlns="http://schemas.openxmlformats.org/spreadsheetml/2006/main" count="1135" uniqueCount="518">
  <si>
    <t>A - Hauptkanal und Schächte</t>
  </si>
  <si>
    <t>Gesamtemissionen</t>
  </si>
  <si>
    <t>kg CO2-Äqv.</t>
  </si>
  <si>
    <t>kg CO2-Äqv./m</t>
  </si>
  <si>
    <t>1.</t>
  </si>
  <si>
    <t>Allgemeine Angaben</t>
  </si>
  <si>
    <t>Bauweise</t>
  </si>
  <si>
    <t>Art d. geschl. Bauweise</t>
  </si>
  <si>
    <t>Durchmesser Rohr (DN)</t>
  </si>
  <si>
    <t>m</t>
  </si>
  <si>
    <t>GESAMT</t>
  </si>
  <si>
    <t>Kommentar</t>
  </si>
  <si>
    <t>Einheit</t>
  </si>
  <si>
    <t>2.</t>
  </si>
  <si>
    <t>Baustelleneinrichtung</t>
  </si>
  <si>
    <t>Aufschlag:</t>
  </si>
  <si>
    <t>prozentual anhand des Verbaus bestimmt</t>
  </si>
  <si>
    <t>3.</t>
  </si>
  <si>
    <t>Pumpen Abwasser/Grundwasser</t>
  </si>
  <si>
    <t>3.1</t>
  </si>
  <si>
    <t>Abwasserumleitung mittels Pumpen</t>
  </si>
  <si>
    <t>Umleitung vorhanden?</t>
  </si>
  <si>
    <t>Fördermenge (mittel)</t>
  </si>
  <si>
    <t>m³/h</t>
  </si>
  <si>
    <t>Dauer der Umleitung</t>
  </si>
  <si>
    <t>h</t>
  </si>
  <si>
    <t>3.2</t>
  </si>
  <si>
    <t>Grundwasserabsenkung</t>
  </si>
  <si>
    <t>Absenkung vorhanden?</t>
  </si>
  <si>
    <t>4.</t>
  </si>
  <si>
    <t>Straßenarbeiten</t>
  </si>
  <si>
    <t>4.1</t>
  </si>
  <si>
    <t>Material Deckschicht</t>
  </si>
  <si>
    <t>Schichtdicke Deckschicht</t>
  </si>
  <si>
    <t>Schichtdicke Pflasterbettung</t>
  </si>
  <si>
    <t>Schichtdicke Asphaltbinder</t>
  </si>
  <si>
    <t>Schichtdicke Asphalttragschicht (3. Tragschicht)</t>
  </si>
  <si>
    <t>Schichtdicke Schottertragschicht (2. Tragschicht)</t>
  </si>
  <si>
    <t>Schichtdicke Frostschutzschicht (1. Tragschicht)</t>
  </si>
  <si>
    <t>Betrachtungsweise</t>
  </si>
  <si>
    <t>4.2</t>
  </si>
  <si>
    <t>Straßenaufbruch</t>
  </si>
  <si>
    <t>Fläche Aufbruch und Wiederherstellung (lt. Planung ohne Nachträge)</t>
  </si>
  <si>
    <t>m²</t>
  </si>
  <si>
    <t>Fläche Aufbruch und Wiederherstellung (real inkl. Nachträge)</t>
  </si>
  <si>
    <t>Mengen Aufbruch</t>
  </si>
  <si>
    <t>Deckschicht</t>
  </si>
  <si>
    <t>t</t>
  </si>
  <si>
    <t>-</t>
  </si>
  <si>
    <t>DN</t>
  </si>
  <si>
    <t>4.2.1</t>
  </si>
  <si>
    <t>Verladen und Abtransportieren</t>
  </si>
  <si>
    <t>Entfernung Baustelle - Recyclinghof (x2)</t>
  </si>
  <si>
    <t>km</t>
  </si>
  <si>
    <t>Schottertragschicht</t>
  </si>
  <si>
    <t>Frostschutzschicht</t>
  </si>
  <si>
    <t>4.2.2</t>
  </si>
  <si>
    <t>Herstellung der Oberfläche</t>
  </si>
  <si>
    <t>Mengen Herstellung</t>
  </si>
  <si>
    <t>Herstellung der Bauprodukte</t>
  </si>
  <si>
    <t>Transport Bauprodukt zur Baustelle</t>
  </si>
  <si>
    <t>Entfernung Bauprodukt - Baustelle</t>
  </si>
  <si>
    <t>Frotschutzschicht</t>
  </si>
  <si>
    <t>Einbau</t>
  </si>
  <si>
    <t>Pflasterbettung</t>
  </si>
  <si>
    <t>Asphaltbinder</t>
  </si>
  <si>
    <t>Asphalttragschicht</t>
  </si>
  <si>
    <t>5.</t>
  </si>
  <si>
    <t>Verbau + Bodenaushub</t>
  </si>
  <si>
    <t>5.1</t>
  </si>
  <si>
    <t>Verbau (offene Bauweise)</t>
  </si>
  <si>
    <t>Verbaulänge</t>
  </si>
  <si>
    <t>Mittlere Verbautiefe</t>
  </si>
  <si>
    <t>Verbaufläche Einbau (einfach)</t>
  </si>
  <si>
    <t>Kontrolle Verbaufläche berechnet</t>
  </si>
  <si>
    <t>Verbauart</t>
  </si>
  <si>
    <t>Anlieferung Verbauelemente</t>
  </si>
  <si>
    <t>Entfernung Lagerplatz - Baustelle</t>
  </si>
  <si>
    <t>Anzahl LKW</t>
  </si>
  <si>
    <t>Stk.</t>
  </si>
  <si>
    <t>Einbau Verbauelemente</t>
  </si>
  <si>
    <t>Ausbau Verbauelemente</t>
  </si>
  <si>
    <t>Abtransport Verbauelemente</t>
  </si>
  <si>
    <t>5.2</t>
  </si>
  <si>
    <t>Bodenaushub und Bodeneinbau (offene Bauweise)</t>
  </si>
  <si>
    <t>Aushub Boden</t>
  </si>
  <si>
    <t>Aushubmenge</t>
  </si>
  <si>
    <t>m³</t>
  </si>
  <si>
    <t>Abtransport Boden</t>
  </si>
  <si>
    <t>Entfernung Baustelle-Lagerplatz bzw. zur Entsorgung</t>
  </si>
  <si>
    <t>Volumen</t>
  </si>
  <si>
    <t>Entsorgung Boden</t>
  </si>
  <si>
    <t>Entsorgung Deponie (Z1-Z2)</t>
  </si>
  <si>
    <t>Entsorgung Deponie (Z3+)</t>
  </si>
  <si>
    <t>Anlieferung Boden</t>
  </si>
  <si>
    <t>Anteil Wiederverwendung Boden</t>
  </si>
  <si>
    <t>Einbau Boden</t>
  </si>
  <si>
    <t>Verdichten Boden</t>
  </si>
  <si>
    <t>5.3</t>
  </si>
  <si>
    <t>Abbruch Sonderbauwerke</t>
  </si>
  <si>
    <t>Mengen Abbruch</t>
  </si>
  <si>
    <t>Gewicht Abbruch</t>
  </si>
  <si>
    <t>Verladen und Abtransportieren Abbruch</t>
  </si>
  <si>
    <t>Entfernung Baustelle - Recyclinghof</t>
  </si>
  <si>
    <t>5.4</t>
  </si>
  <si>
    <t>Start- und Zielbaugruben (nur geschl. Bauweisen)</t>
  </si>
  <si>
    <t>5.5</t>
  </si>
  <si>
    <t>Summe Emissionen (nur geschl. Bauweisen)</t>
  </si>
  <si>
    <t>6.</t>
  </si>
  <si>
    <t>Rohre + Schächte</t>
  </si>
  <si>
    <t xml:space="preserve">6.1 </t>
  </si>
  <si>
    <t>Summe Rohrleitung</t>
  </si>
  <si>
    <t>6.1.1</t>
  </si>
  <si>
    <t>Herstellung Rohr</t>
  </si>
  <si>
    <t>Rohrdimension (DN)</t>
  </si>
  <si>
    <t>Material</t>
  </si>
  <si>
    <t>Länge</t>
  </si>
  <si>
    <t>6.1.2</t>
  </si>
  <si>
    <t>Transport Rohr Zwischenlager - Baustelle</t>
  </si>
  <si>
    <t>Entfernung</t>
  </si>
  <si>
    <t>6.1.3</t>
  </si>
  <si>
    <t>Einbau Rohr</t>
  </si>
  <si>
    <t>6.2</t>
  </si>
  <si>
    <t>Summe Schächte</t>
  </si>
  <si>
    <t>6.2.1</t>
  </si>
  <si>
    <t>Herstellung Schacht</t>
  </si>
  <si>
    <t>Anzahl der Schächte</t>
  </si>
  <si>
    <t>Stk</t>
  </si>
  <si>
    <t>Schachttyp</t>
  </si>
  <si>
    <t>DN 1200</t>
  </si>
  <si>
    <t>DN 1500</t>
  </si>
  <si>
    <t>Mittlere Tiefenlage</t>
  </si>
  <si>
    <t>Gesamtgewicht</t>
  </si>
  <si>
    <t>kg</t>
  </si>
  <si>
    <t>Gewicht</t>
  </si>
  <si>
    <t>Abdeckung</t>
  </si>
  <si>
    <t>Steighilfen</t>
  </si>
  <si>
    <t>Schachthals</t>
  </si>
  <si>
    <t>Schachtringe</t>
  </si>
  <si>
    <t>Schachtunterteil</t>
  </si>
  <si>
    <t>Herstellung</t>
  </si>
  <si>
    <t>6.2.2</t>
  </si>
  <si>
    <t>Transport Schacht</t>
  </si>
  <si>
    <t>6.2.3</t>
  </si>
  <si>
    <t>Einbau Schacht</t>
  </si>
  <si>
    <t xml:space="preserve">6.3 </t>
  </si>
  <si>
    <t>Summe Sonderbauwerke</t>
  </si>
  <si>
    <t>6.3.1</t>
  </si>
  <si>
    <t>Herstellung Sonderbauwerk</t>
  </si>
  <si>
    <t>Breite</t>
  </si>
  <si>
    <t>Tiefe</t>
  </si>
  <si>
    <t>Volumen Material Baukörper</t>
  </si>
  <si>
    <t>Bewehrungsstahl</t>
  </si>
  <si>
    <t>Ortbeton</t>
  </si>
  <si>
    <t>Emissionen Herstellung</t>
  </si>
  <si>
    <t>6.3.2</t>
  </si>
  <si>
    <t>Transport Material Sonderbauwerke</t>
  </si>
  <si>
    <t>6.4</t>
  </si>
  <si>
    <t>Entsorgung Abbruch Rohre/Schächte</t>
  </si>
  <si>
    <t>6.4.1</t>
  </si>
  <si>
    <t>Entsorgung</t>
  </si>
  <si>
    <t>Rohre</t>
  </si>
  <si>
    <t>Schächte</t>
  </si>
  <si>
    <t>Sonstiges</t>
  </si>
  <si>
    <t>6.4.2</t>
  </si>
  <si>
    <t>Transport Abbruch - Deponie</t>
  </si>
  <si>
    <t>6.5</t>
  </si>
  <si>
    <t>Dämmer-Verfüllung</t>
  </si>
  <si>
    <t>Material Dämmer</t>
  </si>
  <si>
    <t>Dämmer</t>
  </si>
  <si>
    <t>Daten der Baustelle</t>
  </si>
  <si>
    <t xml:space="preserve">Zuletzt geändert am </t>
  </si>
  <si>
    <t>Name/Ort der Baustelle, ggf. Kurzbeschreibung</t>
  </si>
  <si>
    <t>Bearbeiter</t>
  </si>
  <si>
    <t>Emissionsfaktoren</t>
  </si>
  <si>
    <t>Kraftstoffe</t>
  </si>
  <si>
    <t>Diesel</t>
  </si>
  <si>
    <t>kg CO2-Äqv/l</t>
  </si>
  <si>
    <t>ecoinvent v3.10 (diesel, burned in building machine - GLO)</t>
  </si>
  <si>
    <t>Straßenbau</t>
  </si>
  <si>
    <t>Asphalt (Gussaspahlt)</t>
  </si>
  <si>
    <t>kg CO2-Äqv/kg</t>
  </si>
  <si>
    <t>ökobaudat 2023-I</t>
  </si>
  <si>
    <t>Gussasphalt</t>
  </si>
  <si>
    <t>Beton (C30/37) / Betonasphalt</t>
  </si>
  <si>
    <t>Transportbeton C30/37</t>
  </si>
  <si>
    <t>Splittmastixasphalt (Walzasphalt)</t>
  </si>
  <si>
    <t>Splittmastixasphalt (SMA)</t>
  </si>
  <si>
    <t>Pflaster</t>
  </si>
  <si>
    <t>A2-Betonpflaster- Standardstein grau mit Vorsatz</t>
  </si>
  <si>
    <t>Sand 0/2 (Schottertragschicht siehe unten)</t>
  </si>
  <si>
    <t xml:space="preserve">Asphaltbinder </t>
  </si>
  <si>
    <t xml:space="preserve">Asphalttragschicht </t>
  </si>
  <si>
    <t>Schotter 16/32, Schotter 16/32 (getrocknet)</t>
  </si>
  <si>
    <t>Kies 2/32, Kies 2/32 (getrocknet)</t>
  </si>
  <si>
    <t>Deponie (Z1-Z2)</t>
  </si>
  <si>
    <t>kg CO2-Äqv/t</t>
  </si>
  <si>
    <t>ecoinvent v3.10: treatment of inert waste, inert material landfill</t>
  </si>
  <si>
    <t>Deponie (Z3)</t>
  </si>
  <si>
    <t>ecoinvent v3.10: treatment of inert waste, sanitary landfill - RER</t>
  </si>
  <si>
    <t>Recycling Beton/Inertabfälle</t>
  </si>
  <si>
    <t>ecoinvent v3.10: treatment of waste concrete, not reinforced, recycling</t>
  </si>
  <si>
    <t>Deponie für teerhaltige Bitumengemische</t>
  </si>
  <si>
    <t>ecoinvent v3.10: treatment of waste asphalt, sanitary landfill</t>
  </si>
  <si>
    <t>Quelle</t>
  </si>
  <si>
    <t>Rohrleitungen</t>
  </si>
  <si>
    <t>Spez. Gewicht (kg/m)</t>
  </si>
  <si>
    <t>kg CO2e/kg</t>
  </si>
  <si>
    <t>THG-Potential (kg CO2-Äqv.)/m</t>
  </si>
  <si>
    <t>Beton, unbewehrt</t>
  </si>
  <si>
    <t>Beton, bewehrt</t>
  </si>
  <si>
    <t>Steinzeug</t>
  </si>
  <si>
    <t>Duktiles Gusseisen</t>
  </si>
  <si>
    <t>PVC-U</t>
  </si>
  <si>
    <t>PP</t>
  </si>
  <si>
    <t>GFK</t>
  </si>
  <si>
    <t>Werte aus Datenblättern und teilweise berechnet</t>
  </si>
  <si>
    <t>Werte aus Ökobaudat</t>
  </si>
  <si>
    <t>THG-Potential kg CO2e/kg</t>
  </si>
  <si>
    <t>Stoffwerte</t>
  </si>
  <si>
    <t>Dichte</t>
  </si>
  <si>
    <t>kg/m³</t>
  </si>
  <si>
    <t>https://www.asphaltbau-ruettgens.de/gussasphalt-technische-daten/</t>
  </si>
  <si>
    <t>https://www.asphalt.de/fileadmin/user_upload/asphaltberatung/downloads/jena_blaubeuren_sma-x.pdf</t>
  </si>
  <si>
    <t>http://www.naturpflasterstein.de/altpflaster_seite4.html</t>
  </si>
  <si>
    <t>Sand-Kiesgemisch (Bodenaushub)</t>
  </si>
  <si>
    <t>mit schluffigen Anteilen</t>
  </si>
  <si>
    <t>Bewährungsstahl</t>
  </si>
  <si>
    <t>https://www.chemie.de/lexikon/Baustahl.html</t>
  </si>
  <si>
    <t>Klinker</t>
  </si>
  <si>
    <t>https://oekobaudat.de/OEKOBAU.DAT/datasetdetail/process.xhtml?uuid=d311ba82-a703-4865-b5e3-f704e5b88712&amp;version=20.19.120&amp;stock=OBD_2021_II&amp;lang=de</t>
  </si>
  <si>
    <t>Anteile Materialien Sonderbauwerke</t>
  </si>
  <si>
    <t>m³/m³</t>
  </si>
  <si>
    <t>Emissionsfaktor Bewehrungsstahl</t>
  </si>
  <si>
    <t>https://oekobaudat.de/OEKOBAU.DAT/datasetdetail/process.xhtml?uuid=e9ae96ee-ba8d-420d-9725-7c8abd06e082&amp;version=20.19.120&amp;stock=OBD_2021_II&amp;lang=de</t>
  </si>
  <si>
    <t>Emissionsfaktor Magerbeton C8/10</t>
  </si>
  <si>
    <t>kg CO2e/m³</t>
  </si>
  <si>
    <t>Emissionsfaktor Beton C30/37</t>
  </si>
  <si>
    <t>https://oekobaudat.de/OEKOBAU.DAT/datasetdetail/process.xhtml?uuid=b6096c9c-1248-4ce1-9c2d-f4a48aade80f&amp;version=00.03.000&amp;stock=OBD_2021_II&amp;lang=de</t>
  </si>
  <si>
    <t>Emissionsfaktor Beton C50/60</t>
  </si>
  <si>
    <t>https://oekobaudat.de/OEKOBAU.DAT/datasetdetail/process.xhtml?uuid=2b2d1f3f-ab92-449d-8a2e-cd7e85818406&amp;version=00.03.000&amp;stock=OBD_2021_II&amp;lang=de</t>
  </si>
  <si>
    <t>Emissionsfaktor Ortbeton C30/37</t>
  </si>
  <si>
    <t>https://oekobaudat.de/OEKOBAU.DAT/datasetdetail/process.xhtml?uuid=9702d9ab-2af2-4fdc-9d99-225583a9ffb7&amp;version=20.20.020&amp;stock=OBD_2021_II&amp;lang=de</t>
  </si>
  <si>
    <t>Kanalklinker</t>
  </si>
  <si>
    <t>Angabe von Füllmix für "Dämmer 10", Zementgehalt bis 20%</t>
  </si>
  <si>
    <t>Baugeräte</t>
  </si>
  <si>
    <t>LKW</t>
  </si>
  <si>
    <t>Verbrauch</t>
  </si>
  <si>
    <t>l/100km</t>
  </si>
  <si>
    <t>Entwicklung und Bewertung von Maßnahmen zur Verminderung von schweren Nutzfahrzeugen, UBA, 2019, S39</t>
  </si>
  <si>
    <t>kg CO2e/t km</t>
  </si>
  <si>
    <t>https://oekobaudat.de/OEKOBAU.DAT/datasetdetail/process.xhtml?uuid=f54f1e4c-07e2-4045-9f1b-fb28ef8adf13&amp;version=20.19.120&amp;stock=OBD_2021_II&amp;lang=de</t>
  </si>
  <si>
    <t>Radlader</t>
  </si>
  <si>
    <t>Verladetätigkeit BE</t>
  </si>
  <si>
    <t>l/h</t>
  </si>
  <si>
    <t>https://archiv2015.bgl-online.info/vorwort.html ~120 g/kWh</t>
  </si>
  <si>
    <t>Bagger</t>
  </si>
  <si>
    <t>l/m³</t>
  </si>
  <si>
    <t>Grundspielzeit</t>
  </si>
  <si>
    <t>s</t>
  </si>
  <si>
    <t>Löffelvolumen</t>
  </si>
  <si>
    <t>Nutzleistungsfaktor</t>
  </si>
  <si>
    <t>für mittelmäßige Baustellen- und Betriebsbedingungen nach Tafel 9
 (Krause &amp; Ulke, 2016, S. 1074)</t>
  </si>
  <si>
    <t>Durchgänge pro Stunde</t>
  </si>
  <si>
    <t>Volumen pro Stunde</t>
  </si>
  <si>
    <t>Leistungsfaktor Einbau Rohr</t>
  </si>
  <si>
    <t>h/m</t>
  </si>
  <si>
    <t>Krause &amp; Ulke, 2016, S. 1485</t>
  </si>
  <si>
    <t>Leistungsfaktor Einbau Schachtunterteil</t>
  </si>
  <si>
    <t>h/Stk.</t>
  </si>
  <si>
    <t>Krause &amp; Ulke, 2016, S. 1486</t>
  </si>
  <si>
    <t>Leistungsfaktor Einbau Schachtring</t>
  </si>
  <si>
    <t>Leistungsfaktor Einbau Schachthals</t>
  </si>
  <si>
    <t>Leistungsfaktor Einbau Abdeckung</t>
  </si>
  <si>
    <t>Asphaltfräse</t>
  </si>
  <si>
    <t>Arbeitsbreite</t>
  </si>
  <si>
    <t>Arbeitsgeschwindigkeit</t>
  </si>
  <si>
    <t>m/min</t>
  </si>
  <si>
    <t>Höhe Abtrag</t>
  </si>
  <si>
    <t>Aufwandswert Fräsen</t>
  </si>
  <si>
    <t>h/m³</t>
  </si>
  <si>
    <t>Rammgerät</t>
  </si>
  <si>
    <t>Rüttelplatte</t>
  </si>
  <si>
    <t>https://www.btw-mietservice.de/btw-mietpark/baumaschinen/verdichtungstechnik/ruettelplatten/dps-3060/</t>
  </si>
  <si>
    <t>Verdichtungstiefe</t>
  </si>
  <si>
    <t>Krause &amp; Ulke, 2016, S. 1141 Tafel 9.57</t>
  </si>
  <si>
    <t>Flächenleistung</t>
  </si>
  <si>
    <t>m²/h</t>
  </si>
  <si>
    <t>Vortriebsmaschine</t>
  </si>
  <si>
    <t>Vortrieb</t>
  </si>
  <si>
    <t>m/h</t>
  </si>
  <si>
    <t>https://www.hauck-tiefbau.de/hauck-tiefbau/grabenloses-bauen/bodenverdraengungsverfahren/</t>
  </si>
  <si>
    <t>Datensatz</t>
  </si>
  <si>
    <t>Emissionsfaktor</t>
  </si>
  <si>
    <t>lt. Vorplanung</t>
  </si>
  <si>
    <t>real</t>
  </si>
  <si>
    <t>Anteil Ersatz der Frostschutz- und Schottertragschicht bei Nachträgen</t>
  </si>
  <si>
    <t>Schachttypen</t>
  </si>
  <si>
    <t>DN 1000</t>
  </si>
  <si>
    <t>Auswahl für Dropdown-Listen</t>
  </si>
  <si>
    <t>offene Bauweise</t>
  </si>
  <si>
    <t>geschlossene Bauweise</t>
  </si>
  <si>
    <t>Kölner Stollen im Stahlverzug</t>
  </si>
  <si>
    <t>Pionierstollen</t>
  </si>
  <si>
    <t>Spritzbetonstollen</t>
  </si>
  <si>
    <t>ja</t>
  </si>
  <si>
    <t>nein</t>
  </si>
  <si>
    <t>PE</t>
  </si>
  <si>
    <t>Trägerbohlenwand</t>
  </si>
  <si>
    <t>Plattenverbau/Gleitschienenverbau/Großflächenverbau</t>
  </si>
  <si>
    <t>Spundwand/Spunddiele/Kanaldiele</t>
  </si>
  <si>
    <t>Überschnittene Bohrpfahlwand</t>
  </si>
  <si>
    <t>Asphalt (Gussasphalt)</t>
  </si>
  <si>
    <t>THG-Potential Herstellung</t>
  </si>
  <si>
    <t>THG-Potential Einbau</t>
  </si>
  <si>
    <t>THG-Potential</t>
  </si>
  <si>
    <t>Stoff</t>
  </si>
  <si>
    <t>https://www.rehau.com/downloads/87168/preisliste-abwassertechnik.pdf</t>
  </si>
  <si>
    <t xml:space="preserve">SN 10000; https://www.amiblu.com/wp-content/uploads/Hobas-Technische-Produktdaten-PN1.pdf </t>
  </si>
  <si>
    <t>GWP (Emissionsfaktor)</t>
  </si>
  <si>
    <t>Abschnitt/Maßnahme 3</t>
  </si>
  <si>
    <t>Abschnitt/Maßnahme 4</t>
  </si>
  <si>
    <t>Abschnitt/Maßnahme 5</t>
  </si>
  <si>
    <t>Art der geschlossenen Bauweise</t>
  </si>
  <si>
    <t>6.1</t>
  </si>
  <si>
    <t>Summe</t>
  </si>
  <si>
    <t>Gesamt</t>
  </si>
  <si>
    <t>Relativ</t>
  </si>
  <si>
    <t>Berechnung der THG-Emissionen in t CO2e</t>
  </si>
  <si>
    <t>Berechung der THG-Emissionen in kg CO2e/m</t>
  </si>
  <si>
    <t>Länge der Leitungen</t>
  </si>
  <si>
    <t>Name</t>
  </si>
  <si>
    <t>Abschnitt/Maßnahme 2: Anschlussleitungen</t>
  </si>
  <si>
    <t>Betrachtungsweise Straßenaufbruch</t>
  </si>
  <si>
    <t>Wert</t>
  </si>
  <si>
    <t>BILANZIERUNG VON SCOPE 3-EMISSIONEN</t>
  </si>
  <si>
    <t>Scope 3.2 Investitionsgüter</t>
  </si>
  <si>
    <t>Version:</t>
  </si>
  <si>
    <t>Datum:</t>
  </si>
  <si>
    <t>KURZANLEITUNG</t>
  </si>
  <si>
    <t>berechnete Werte:</t>
  </si>
  <si>
    <t>Teil-Emissionen je Unterpunkt</t>
  </si>
  <si>
    <t>Gesamtemissionen je Maßnahme und spezifische Emissionen je Maßnahme</t>
  </si>
  <si>
    <t>BITTE BEACHTEN</t>
  </si>
  <si>
    <t>Zur Kenntnisnahme</t>
  </si>
  <si>
    <t>Zu bearbeiten</t>
  </si>
  <si>
    <t>Nicht zu bearbeiten!</t>
  </si>
  <si>
    <r>
      <t xml:space="preserve">Arbeitsmappen mit blauer Markierung enthalten Hinweise, die </t>
    </r>
    <r>
      <rPr>
        <b/>
        <sz val="11"/>
        <rFont val="Calibri"/>
        <family val="2"/>
        <scheme val="minor"/>
      </rPr>
      <t>lediglich zur Kenntnisnahme</t>
    </r>
    <r>
      <rPr>
        <sz val="11"/>
        <rFont val="Calibri"/>
        <family val="2"/>
        <scheme val="minor"/>
      </rPr>
      <t xml:space="preserve"> dienen und keiner weiteren Bearbeitung bedürfen.</t>
    </r>
  </si>
  <si>
    <r>
      <t>Gelb markierte Arbeitsmappen sind</t>
    </r>
    <r>
      <rPr>
        <b/>
        <sz val="11"/>
        <color theme="1"/>
        <rFont val="Calibri"/>
        <family val="2"/>
        <scheme val="minor"/>
      </rPr>
      <t xml:space="preserve"> aktiv zu bearbeiten</t>
    </r>
    <r>
      <rPr>
        <sz val="11"/>
        <color theme="1"/>
        <rFont val="Calibri"/>
        <family val="2"/>
        <scheme val="minor"/>
      </rPr>
      <t>.</t>
    </r>
  </si>
  <si>
    <t>INHALTE DER EXCEL</t>
  </si>
  <si>
    <t>Eingaben Hauptkanal</t>
  </si>
  <si>
    <t>Detaillierte Berechnung von THG-Emissionen bei Rohr- und Kanalbaumaßnahmen</t>
  </si>
  <si>
    <t>Auswertung</t>
  </si>
  <si>
    <t>Zwischenergebnis</t>
  </si>
  <si>
    <t>Endergebnis</t>
  </si>
  <si>
    <t>HAFTUNGSAUSSCHLUSS/NUTZUNG DER ZUR VERFÜGUNGGESTELLTEN UNTERLAGEN</t>
  </si>
  <si>
    <t>Diese Excel-Datei ist ein Teilergebnis der AG Scope 3. Er stellt eine Fachmeinung dar und dient der allgemeinen Information und nicht der Beratung in konkreten Fällen. Die Mitglieder der Arbeitsgruppe sind bemüht, für die Richtigkeit und Aktualität aller in der Excel-Datei enthaltenen Informationen und Daten zu sorgen. Für die Korrektheit, Vollständigkeit, Aktualität oder Qualität der bereitgestellten Informationen und Daten wird jedoch keine Gewähr übernommen. Die Haftung für den Inhalt der abrufbaren Informationen wird ausgeschlossen, soweit es sich nicht um vorsätzliche oder grob fahrlässige Falschinformation handelt.
Copyright: Alle Inhalte diese Excel-Datei, insbesondere Texte, Fotografien und Grafiken sind urheberrechtlich geschützt. Die Anwendung ist den Unternehmen und Organisationen der deutschen Wasserwirtschaft für den Eigenbedarf gestattet. Die Vervielfältigung, Bearbeitung, Verbreitung im Rahmen einer gewerblichen Nutzung bedürfen der schriftlichen Zustimmung.</t>
  </si>
  <si>
    <t>Download-Link:</t>
  </si>
  <si>
    <t>https://www.hansewasser.de/unternehmen/scope-3-leitfaden</t>
  </si>
  <si>
    <t xml:space="preserve">MITGLIEDER DER PROJEKTGRUPPE </t>
  </si>
  <si>
    <t>Dropdown Menüs</t>
  </si>
  <si>
    <t>Auflistung der Optionen für die Dropdown Menüs im Tabellenblatt "Eingaben Hauptkanal"</t>
  </si>
  <si>
    <t>Hilfsrechnungen &amp; Baustelleninfo</t>
  </si>
  <si>
    <t>Gesamtfläche Verbau</t>
  </si>
  <si>
    <t>Leistungswert Einbau</t>
  </si>
  <si>
    <t>h/m²</t>
  </si>
  <si>
    <t>Krause &amp; Ulke, 2016, S. 1485 ff.</t>
  </si>
  <si>
    <t>Leistungswert Bohrer</t>
  </si>
  <si>
    <t>Verfahrenstechnik und Baubetrieb im Grund- und Spezialtiefbau, S.126</t>
  </si>
  <si>
    <t>Träger einbauen</t>
  </si>
  <si>
    <t>Verfahrenstechnik und Baubetrieb im Grund- und Spezialtiefbau, S.89</t>
  </si>
  <si>
    <t>Leistungswert Ausbau</t>
  </si>
  <si>
    <t>Durchmesser Bohrung</t>
  </si>
  <si>
    <t>Träger ausbauen</t>
  </si>
  <si>
    <t>Versatz je Pfahl</t>
  </si>
  <si>
    <t>Trägerabstand</t>
  </si>
  <si>
    <t>Leistungsanteil Bagger</t>
  </si>
  <si>
    <t>Verfahrenstechnik und Baubetrieb im Grund- und Spezialtiefbau, S.90</t>
  </si>
  <si>
    <t>Emissionen Einbringen Träger</t>
  </si>
  <si>
    <t>Emissionen Einbau Verbohlung</t>
  </si>
  <si>
    <t>Emissionen Ausbau Träger</t>
  </si>
  <si>
    <t>Emissionen Ausbau Verbohlung</t>
  </si>
  <si>
    <t>Emissionen Einbau</t>
  </si>
  <si>
    <t>Emissionen Ausbau</t>
  </si>
  <si>
    <t>Dauer Bohrtätigkeit [h]</t>
  </si>
  <si>
    <t>Betonmenge [m³]</t>
  </si>
  <si>
    <t>Emissionen Beton</t>
  </si>
  <si>
    <t>Emissionen Bohrtätigkeit</t>
  </si>
  <si>
    <t>Einrammtiefe [m] (1,5 * Grabtiefe)</t>
  </si>
  <si>
    <t>Tiefe je Bohrung [m]</t>
  </si>
  <si>
    <t>Anzahl Bohrungen</t>
  </si>
  <si>
    <t>m2</t>
  </si>
  <si>
    <t>m1</t>
  </si>
  <si>
    <t>b</t>
  </si>
  <si>
    <t>x</t>
  </si>
  <si>
    <t>x^2</t>
  </si>
  <si>
    <t>y</t>
  </si>
  <si>
    <t>m2 (gerundet)</t>
  </si>
  <si>
    <t>m1 (gerundet)</t>
  </si>
  <si>
    <t>b (gerundet)</t>
  </si>
  <si>
    <t>Y=</t>
  </si>
  <si>
    <t>Tilia Daten</t>
  </si>
  <si>
    <t>Berding Beton</t>
  </si>
  <si>
    <t>Für Berechnung: Tonage/Volumen von Berding Beton aber Standard Beton</t>
  </si>
  <si>
    <t>Schachunterteil</t>
  </si>
  <si>
    <t>Höhe</t>
  </si>
  <si>
    <t>Emissionsfaktor Beton</t>
  </si>
  <si>
    <t>Erforderliche Höhe</t>
  </si>
  <si>
    <t>Annahme 50% Grausguss und 50% Beton</t>
  </si>
  <si>
    <t>Erforderliche Länge</t>
  </si>
  <si>
    <t>Erforderliche Anzahl</t>
  </si>
  <si>
    <t>https://oekobaudat.de/OEKOBAU.DAT/datasetdetail/process.xhtml?uuid=dbc94e02-b28f-43eb-8133-a161e9b83dfa&amp;version=20.19.120&amp;stock=OBD_2021_II&amp;lang=de</t>
  </si>
  <si>
    <t>k.A.</t>
  </si>
  <si>
    <t>Nebenrechnung CO2e geschl. Bauweisen</t>
  </si>
  <si>
    <t>CO2e/m</t>
  </si>
  <si>
    <t>davon Scope 3.5</t>
  </si>
  <si>
    <t>Ersatzanteil</t>
  </si>
  <si>
    <t>Dieselverbrauch pro m3</t>
  </si>
  <si>
    <t>Dauer der Absenkung</t>
  </si>
  <si>
    <t>Einbringtiefe der Träger</t>
  </si>
  <si>
    <t>%</t>
  </si>
  <si>
    <t>Spezifische Fläche je LKW</t>
  </si>
  <si>
    <t>Verbau</t>
  </si>
  <si>
    <t>kg CO2-Äqv./m²</t>
  </si>
  <si>
    <t>Schachtbauteile</t>
  </si>
  <si>
    <t>Werte</t>
  </si>
  <si>
    <t>--&gt; eingesetztes Gerät: Bagger und Rammgerät</t>
  </si>
  <si>
    <t>--&gt; eingesetztes Gerät: Bagger</t>
  </si>
  <si>
    <t>--&gt; eingesetztes Gerät: Bohrer</t>
  </si>
  <si>
    <t>Tilia</t>
  </si>
  <si>
    <t>Eigene Eingabe</t>
  </si>
  <si>
    <t>Gewünschte Datenquelle</t>
  </si>
  <si>
    <t>Eigene Eingabe im Tabellenblatt "Faktoren Abwasser" möglich</t>
  </si>
  <si>
    <t>Zuletzt aktualisiert</t>
  </si>
  <si>
    <t>xyz</t>
  </si>
  <si>
    <t>Datum</t>
  </si>
  <si>
    <t>Abschnitt/Maßnahme 1: Hauptkanal DN300</t>
  </si>
  <si>
    <t>Ersatzanteil der Frostschutz- und Schottertragschicht bei Nachträgen</t>
  </si>
  <si>
    <t>NUTZUNG DER BERECHNUNGSTABELLE (Eingaben Hauptkanal) - Farbcodes</t>
  </si>
  <si>
    <t>Weiß hinterlegte Felder: Formeln und Zwischenrechnungen, die Eingaben und  Faktoren verwenden</t>
  </si>
  <si>
    <t>Übersicht über getroffene Annahmen und die verwendenden Emissionfaktoren für die Bilanzierung von Scope 3.2. Sollten Werte angepasst werden, z.B. da aktualisierte Literaturwerte vorliegen, sollte das Datum in der Spalte "zuletzt aktualisiert" angepasst werden.</t>
  </si>
  <si>
    <t>Die Spalte "Zuletzt aktualisiert" bezieht sich auf diese Tabelle, nicht auf die Datenbanken!</t>
  </si>
  <si>
    <t>Fehlerhafte oder fehlende Werte/Formeln:</t>
  </si>
  <si>
    <t>Anpassen einer Formel oder Nachtragen/Aktualisieren von Literaturwerten erforderlich</t>
  </si>
  <si>
    <t>Straßenaufbau alt</t>
  </si>
  <si>
    <t>4.1.1</t>
  </si>
  <si>
    <t>4.1.2</t>
  </si>
  <si>
    <t>Faktor Ausbau</t>
  </si>
  <si>
    <t>Verbau wird vollst. entfernt : 1. Verbau verbleibt vollst. im Boden: 0</t>
  </si>
  <si>
    <t>Anzahl benötigter SR 1,0 m</t>
  </si>
  <si>
    <t>Anzahl benötigter SR 0,5 m</t>
  </si>
  <si>
    <t>Anzahl benötigter SR 0,25 m</t>
  </si>
  <si>
    <t>Schachtringe der Höhe 0,25 m</t>
  </si>
  <si>
    <t>Schachtringe der Höhe 1,0 m</t>
  </si>
  <si>
    <t>Schachtringe der Höhe 0,50 m</t>
  </si>
  <si>
    <t>Gewicht pro Stück</t>
  </si>
  <si>
    <t>Abschnitt/ Maßnahme 1</t>
  </si>
  <si>
    <t>Abschnitt/ Maßnahme 2</t>
  </si>
  <si>
    <t>Abschnitt/ Maßnahme 3</t>
  </si>
  <si>
    <t>Abschnitt/ Maßnahme 4</t>
  </si>
  <si>
    <t>Abschnitt/ Maßnahme 5</t>
  </si>
  <si>
    <t>Gewicht der Steighilfen</t>
  </si>
  <si>
    <t>Gesamtgewicht 1 Schacht</t>
  </si>
  <si>
    <t>Gewicht SR je Schacht</t>
  </si>
  <si>
    <t>DN 1000 (je Schacht)</t>
  </si>
  <si>
    <t>DN 1200 (je Schacht)</t>
  </si>
  <si>
    <t>DN 1500 (je Schacht)</t>
  </si>
  <si>
    <t>DN-unabhängig (je Schacht)</t>
  </si>
  <si>
    <t>Durchmesser neues Rohr (DN)</t>
  </si>
  <si>
    <t>Material neues Rohr</t>
  </si>
  <si>
    <t>Länge neues Rohr</t>
  </si>
  <si>
    <t>Krause &amp; Ulke, 2024, S. 481 Tafel 8.62 Gültig für Abtrag von 10 cm</t>
  </si>
  <si>
    <t>Asphalt fräsen</t>
  </si>
  <si>
    <t>4.3</t>
  </si>
  <si>
    <t>4.3.1</t>
  </si>
  <si>
    <t>4.3.2</t>
  </si>
  <si>
    <t>4.3.3</t>
  </si>
  <si>
    <t>Zwischenrechnung Gewicht pro Schacht</t>
  </si>
  <si>
    <t>Falls keine Massen vorliegen: vorbereitete Nebenrechnung im Blatt "Hilfsrechnungen&amp;Baustelleninfo" nutzen</t>
  </si>
  <si>
    <t>Ggf. schätzen. Typische Wandstärken z.B. für Betonrohre: 100-120 mm für DN800, 120-150 mm für DN1000, 135-150 mm für DN1200</t>
  </si>
  <si>
    <t>Außendurchmesser = Innendurchmesser + 2 * Wandstärke</t>
  </si>
  <si>
    <r>
      <t>Bestandsrohr/-schacht verbleibt im Boden: Innendurchmesser d</t>
    </r>
    <r>
      <rPr>
        <vertAlign val="subscript"/>
        <sz val="11"/>
        <color theme="1"/>
        <rFont val="Calibri"/>
        <family val="2"/>
        <scheme val="minor"/>
      </rPr>
      <t>i</t>
    </r>
    <r>
      <rPr>
        <sz val="11"/>
        <color theme="1"/>
        <rFont val="Calibri"/>
        <family val="2"/>
        <scheme val="minor"/>
      </rPr>
      <t xml:space="preserve"> verwenden</t>
    </r>
  </si>
  <si>
    <r>
      <t>Bestandsrohr/-schacht wird ausgebaut: Außendurchmesser d</t>
    </r>
    <r>
      <rPr>
        <vertAlign val="subscript"/>
        <sz val="11"/>
        <color theme="1"/>
        <rFont val="Calibri"/>
        <family val="2"/>
        <scheme val="minor"/>
      </rPr>
      <t>a</t>
    </r>
    <r>
      <rPr>
        <sz val="11"/>
        <color theme="1"/>
        <rFont val="Calibri"/>
        <family val="2"/>
        <scheme val="minor"/>
      </rPr>
      <t xml:space="preserve"> verwenden</t>
    </r>
  </si>
  <si>
    <r>
      <t>d</t>
    </r>
    <r>
      <rPr>
        <vertAlign val="subscript"/>
        <sz val="11"/>
        <color theme="1"/>
        <rFont val="Calibri"/>
        <family val="2"/>
        <scheme val="minor"/>
      </rPr>
      <t>i</t>
    </r>
    <r>
      <rPr>
        <sz val="11"/>
        <color theme="1"/>
        <rFont val="Calibri"/>
        <family val="2"/>
        <scheme val="minor"/>
      </rPr>
      <t xml:space="preserve"> bzw. d</t>
    </r>
    <r>
      <rPr>
        <vertAlign val="subscript"/>
        <sz val="11"/>
        <color theme="1"/>
        <rFont val="Calibri"/>
        <family val="2"/>
        <scheme val="minor"/>
      </rPr>
      <t>a</t>
    </r>
  </si>
  <si>
    <t>in Eingaben Hauptkanal eingeben</t>
  </si>
  <si>
    <t>m3</t>
  </si>
  <si>
    <t>kg/m3</t>
  </si>
  <si>
    <t>falls das genaue Material bekannt ist, hier Dichte eingeben</t>
  </si>
  <si>
    <t>mm</t>
  </si>
  <si>
    <t>Zu verfüllende Länge (Rohr) bzw. Höhe (Schacht):</t>
  </si>
  <si>
    <t>Gewicht von zu entsorgenden Rohren:</t>
  </si>
  <si>
    <t>Hohlraumvolumen</t>
  </si>
  <si>
    <t>Dichte Dämmer</t>
  </si>
  <si>
    <t>Gewicht Dämmer</t>
  </si>
  <si>
    <t>Zu 6.4: Entsorgung</t>
  </si>
  <si>
    <t>Zu 6.5: Verfüllung</t>
  </si>
  <si>
    <t>Spezifisches Gewicht</t>
  </si>
  <si>
    <t>kg/m</t>
  </si>
  <si>
    <t>Je nach Rohrmaterial und DN aus "Faktoren Abwasser ablesen"</t>
  </si>
  <si>
    <t>Gewicht von zu entsorgenden Schächten:</t>
  </si>
  <si>
    <t>Nebenrechnungen</t>
  </si>
  <si>
    <t>Diese Nebenrechnungen können genutzt werden, wenn die Masse der zu entsorgenden Rohre und Schächte nicht bekannt ist.</t>
  </si>
  <si>
    <t>Abbruch Bestand</t>
  </si>
  <si>
    <t>Faktoren Abwasser</t>
  </si>
  <si>
    <t>Zu 6.2 und 6.4: Gewicht von Schächten</t>
  </si>
  <si>
    <t>zieht Gewicht der Einzelteile aus 'Faktoren Abwasser'</t>
  </si>
  <si>
    <t>Quadratische Regression, um Emissionsfaktoren auch für DN außerhalb der Standardtabellenwerte zu erhalten.</t>
  </si>
  <si>
    <t>Diese Handreichung ist das Ergebnis einer umfangreichen Zusammenarbeit der am Projekt beteiligten Betreiberunternehmen. Ziel war es, einen einheitlichen Standard zur Erstellung und kontinuierlichen Verbesserung von Scope-3-Klimabilanzen in den jeweiligen Organisationen zu entwickeln.
Die erarbeiteten Methoden und Ergebnisse sind skalierbar und stehen allen Betreiberunternehmen der deutschen Wasserwirtschaft zur Verfügung. Diese sind ausdrücklich eingeladen, die Ansätze im eigenen Unternehmen anzuwenden. Rückmeldungen an die Arbeitsgruppe sind stets willkommen und leisten einen wichtigen Beitrag zur kontinuierlichen Weiterentwicklung und Vereinfachung der Methodik für die gesamte Branche.
Die vorliegende Excel-Datei dient der Berechnung der Treibhausgasemissionen aus Scope 3.2 (Investitionsgüter). Sie unterstützt Anwenderinnen und Anwender bei der standardisierten Erfassung und Bilanzierung der entsprechenden Emissionen.</t>
  </si>
  <si>
    <t>Emissionen spezifisch pro gebautem Meter</t>
  </si>
  <si>
    <t>3.0</t>
  </si>
  <si>
    <t>Von Arbeitsgruppe vorgegeben:</t>
  </si>
  <si>
    <t>Von Benutzer*innen auszufüllen:</t>
  </si>
  <si>
    <t>Hellblau hinterlegte Felder: projektspezifische Daten eingeben</t>
  </si>
  <si>
    <r>
      <t xml:space="preserve">Arbeitsmappen in Grau beinhalten alle Listen, die in den gelb eingefärbten Arbeitsmappen als Faktoren oder Dropdown-Optionen verwendet werden. Diese sind i.d.R. </t>
    </r>
    <r>
      <rPr>
        <b/>
        <sz val="11"/>
        <color theme="1"/>
        <rFont val="Calibri"/>
        <family val="2"/>
        <scheme val="minor"/>
      </rPr>
      <t>nicht zur Bearbeitung</t>
    </r>
    <r>
      <rPr>
        <sz val="11"/>
        <color theme="1"/>
        <rFont val="Calibri"/>
        <family val="2"/>
        <scheme val="minor"/>
      </rPr>
      <t xml:space="preserve"> vorgesehen! Lediglich einzelne Punkte (insbesondere die Stammdaten für Schächte) enthalten vereinzelt hellblaue Felder, die bei Bedarf ausgefüllt werden können (Standardwerte sind hinterlegt)</t>
    </r>
  </si>
  <si>
    <t>Es wird empfohlen, notwendige Nebenrechnungen oder Zwischenschritte lediglich auf diesem Tabellenblatt einzufügen. Es wird empfohlen, nach Möglichkeit keine weiteren Zeilen in der Haupttabelle einzufügen.</t>
  </si>
  <si>
    <t>Auswertung der Emissionen</t>
  </si>
  <si>
    <t>Achtung: DN und Länge der zu entsorgenden Rohre und Schächte entsprechen nicht zwingend denen der neu hergestellten. -&gt; Projektdaten prüfen.</t>
  </si>
  <si>
    <t>Straßenaufbau neu (kann identisch 4.1.1 sein oder abweichen)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</si>
</sst>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
    <numFmt numFmtId="167" formatCode="0.000"/>
    <numFmt numFmtId="168" formatCode="0\ &quot;m²&quot;"/>
    <numFmt numFmtId="169" formatCode="0.000000"/>
  </numFmts>
  <fonts count="4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rgb="FF000000"/>
      <name val="Times New Roman"/>
      <family val="1"/>
    </font>
    <font>
      <b/>
      <sz val="24"/>
      <color theme="0"/>
      <name val="Calibri"/>
      <family val="2"/>
      <scheme val="minor"/>
    </font>
    <font>
      <b/>
      <sz val="16"/>
      <color theme="1"/>
      <name val="Calibri"/>
      <family val="2"/>
      <scheme val="minor"/>
    </font>
    <font>
      <b/>
      <sz val="14"/>
      <color theme="1"/>
      <name val="Calibri"/>
      <family val="2"/>
      <scheme val="minor"/>
    </font>
    <font>
      <b/>
      <sz val="20"/>
      <color theme="1"/>
      <name val="Calibri"/>
      <family val="2"/>
      <scheme val="minor"/>
    </font>
    <font>
      <sz val="11"/>
      <name val="Calibri"/>
      <family val="2"/>
      <scheme val="minor"/>
    </font>
    <font>
      <sz val="9"/>
      <color indexed="81"/>
      <name val="Segoe UI"/>
      <family val="2"/>
    </font>
    <font>
      <b/>
      <sz val="11"/>
      <name val="Calibri"/>
      <family val="2"/>
      <scheme val="minor"/>
    </font>
    <font>
      <b/>
      <sz val="11"/>
      <color theme="0" tint="-0.499984740745262"/>
      <name val="Calibri"/>
      <family val="2"/>
      <scheme val="minor"/>
    </font>
    <font>
      <sz val="11"/>
      <color theme="0" tint="-0.499984740745262"/>
      <name val="Calibri"/>
      <family val="2"/>
      <scheme val="minor"/>
    </font>
    <font>
      <sz val="8"/>
      <name val="Calibri"/>
      <family val="2"/>
      <scheme val="minor"/>
    </font>
    <font>
      <sz val="11"/>
      <color theme="9"/>
      <name val="Calibri"/>
      <family val="2"/>
      <scheme val="minor"/>
    </font>
    <font>
      <i/>
      <sz val="10"/>
      <color theme="1"/>
      <name val="Calibri"/>
      <family val="2"/>
      <scheme val="minor"/>
    </font>
    <font>
      <b/>
      <sz val="16"/>
      <name val="Calibri"/>
      <family val="2"/>
      <scheme val="minor"/>
    </font>
    <font>
      <b/>
      <sz val="16"/>
      <color theme="0"/>
      <name val="Calibri"/>
      <family val="2"/>
      <scheme val="minor"/>
    </font>
    <font>
      <sz val="16"/>
      <color theme="1"/>
      <name val="Calibri"/>
      <family val="2"/>
      <scheme val="minor"/>
    </font>
    <font>
      <u/>
      <sz val="11"/>
      <color theme="10"/>
      <name val="Calibri"/>
      <family val="2"/>
      <scheme val="minor"/>
    </font>
    <font>
      <b/>
      <sz val="12"/>
      <color theme="1"/>
      <name val="Calibri"/>
      <family val="2"/>
      <scheme val="minor"/>
    </font>
    <font>
      <sz val="11"/>
      <color theme="0"/>
      <name val="Calibri"/>
      <family val="2"/>
      <scheme val="minor"/>
    </font>
    <font>
      <b/>
      <sz val="22"/>
      <color theme="3"/>
      <name val="Calibri"/>
      <family val="2"/>
      <scheme val="minor"/>
    </font>
    <font>
      <b/>
      <sz val="20"/>
      <color theme="3"/>
      <name val="Calibri"/>
      <family val="2"/>
      <scheme val="minor"/>
    </font>
    <font>
      <sz val="12"/>
      <color theme="1"/>
      <name val="Calibri"/>
      <family val="2"/>
      <scheme val="minor"/>
    </font>
    <font>
      <sz val="14"/>
      <color theme="0"/>
      <name val="Calibri"/>
      <family val="2"/>
      <scheme val="minor"/>
    </font>
    <font>
      <b/>
      <sz val="16"/>
      <color rgb="FF00546E"/>
      <name val="Calibri"/>
      <family val="2"/>
      <scheme val="minor"/>
    </font>
    <font>
      <b/>
      <sz val="12"/>
      <name val="Calibri"/>
      <family val="2"/>
      <scheme val="minor"/>
    </font>
    <font>
      <b/>
      <sz val="12"/>
      <color theme="0"/>
      <name val="Calibri"/>
      <family val="2"/>
      <scheme val="minor"/>
    </font>
    <font>
      <sz val="12"/>
      <color theme="0"/>
      <name val="Calibri"/>
      <family val="2"/>
      <scheme val="minor"/>
    </font>
    <font>
      <sz val="11"/>
      <color theme="1"/>
      <name val="Aptos Narrow"/>
      <family val="2"/>
    </font>
    <font>
      <i/>
      <sz val="11"/>
      <color theme="1"/>
      <name val="Calibri"/>
      <family val="2"/>
      <scheme val="minor"/>
    </font>
    <font>
      <sz val="11"/>
      <color theme="2" tint="-0.749992370372631"/>
      <name val="Calibri"/>
      <family val="2"/>
      <scheme val="minor"/>
    </font>
    <font>
      <sz val="10"/>
      <color theme="1"/>
      <name val="Calibri"/>
      <family val="2"/>
      <scheme val="minor"/>
    </font>
    <font>
      <sz val="7"/>
      <color theme="0" tint="-0.499984740745262"/>
      <name val="Calibri"/>
      <family val="2"/>
      <scheme val="minor"/>
    </font>
    <font>
      <u/>
      <sz val="7"/>
      <color theme="0" tint="-0.499984740745262"/>
      <name val="Calibri"/>
      <family val="2"/>
      <scheme val="minor"/>
    </font>
    <font>
      <u/>
      <sz val="11"/>
      <color theme="0" tint="-0.499984740745262"/>
      <name val="Calibri"/>
      <family val="2"/>
      <scheme val="minor"/>
    </font>
    <font>
      <b/>
      <sz val="9"/>
      <name val="Calibri"/>
      <family val="2"/>
      <scheme val="minor"/>
    </font>
    <font>
      <vertAlign val="subscript"/>
      <sz val="11"/>
      <color theme="1"/>
      <name val="Calibri"/>
      <family val="2"/>
      <scheme val="minor"/>
    </font>
    <font>
      <i/>
      <sz val="11"/>
      <color rgb="FFFF0000"/>
      <name val="Calibri"/>
      <family val="2"/>
      <scheme val="minor"/>
    </font>
    <font>
      <i/>
      <sz val="11"/>
      <name val="Calibri"/>
      <family val="2"/>
      <scheme val="minor"/>
    </font>
    <font>
      <i/>
      <sz val="11"/>
      <color theme="0" tint="-0.499984740745262"/>
      <name val="Calibri"/>
      <family val="2"/>
      <scheme val="minor"/>
    </font>
  </fonts>
  <fills count="20">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EF8F4"/>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bgColor indexed="64"/>
      </patternFill>
    </fill>
    <fill>
      <patternFill patternType="solid">
        <fgColor rgb="FFFFC000"/>
        <bgColor indexed="64"/>
      </patternFill>
    </fill>
    <fill>
      <patternFill patternType="solid">
        <fgColor theme="0" tint="-0.499984740745262"/>
        <bgColor indexed="64"/>
      </patternFill>
    </fill>
    <fill>
      <patternFill patternType="solid">
        <fgColor theme="7" tint="0.39997558519241921"/>
        <bgColor indexed="64"/>
      </patternFill>
    </fill>
    <fill>
      <patternFill patternType="solid">
        <fgColor theme="0" tint="-0.34998626667073579"/>
        <bgColor indexed="64"/>
      </patternFill>
    </fill>
    <fill>
      <patternFill patternType="solid">
        <fgColor theme="0" tint="-0.249977111117893"/>
        <bgColor rgb="FF000000"/>
      </patternFill>
    </fill>
    <fill>
      <patternFill patternType="solid">
        <fgColor theme="0" tint="-0.14999847407452621"/>
        <bgColor indexed="64"/>
      </patternFill>
    </fill>
  </fills>
  <borders count="24">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ashed">
        <color theme="2" tint="-0.249977111117893"/>
      </left>
      <right/>
      <top style="dashed">
        <color theme="2" tint="-0.249977111117893"/>
      </top>
      <bottom/>
      <diagonal/>
    </border>
    <border>
      <left/>
      <right/>
      <top style="dashed">
        <color theme="2" tint="-0.249977111117893"/>
      </top>
      <bottom/>
      <diagonal/>
    </border>
    <border>
      <left style="dashed">
        <color theme="2" tint="-0.249977111117893"/>
      </left>
      <right/>
      <top/>
      <bottom/>
      <diagonal/>
    </border>
    <border>
      <left/>
      <right style="dashed">
        <color theme="2" tint="-0.249977111117893"/>
      </right>
      <top/>
      <bottom/>
      <diagonal/>
    </border>
    <border>
      <left/>
      <right/>
      <top/>
      <bottom style="dotted">
        <color theme="2" tint="-0.249977111117893"/>
      </bottom>
      <diagonal/>
    </border>
    <border>
      <left/>
      <right style="dashed">
        <color theme="2" tint="-0.249977111117893"/>
      </right>
      <top/>
      <bottom style="dotted">
        <color theme="2" tint="-0.249977111117893"/>
      </bottom>
      <diagonal/>
    </border>
    <border>
      <left style="dashed">
        <color theme="2" tint="-0.249977111117893"/>
      </left>
      <right/>
      <top/>
      <bottom style="dotted">
        <color theme="2" tint="-0.24997711111789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4" fillId="0" borderId="0"/>
    <xf numFmtId="0" fontId="20" fillId="0" borderId="0" applyNumberFormat="0" applyFill="0" applyBorder="0" applyAlignment="0" applyProtection="0"/>
    <xf numFmtId="0" fontId="25" fillId="0" borderId="0"/>
  </cellStyleXfs>
  <cellXfs count="362">
    <xf numFmtId="0" fontId="0" fillId="0" borderId="0" xfId="0"/>
    <xf numFmtId="49" fontId="6" fillId="3" borderId="1" xfId="0" applyNumberFormat="1" applyFont="1" applyFill="1" applyBorder="1"/>
    <xf numFmtId="0" fontId="0" fillId="3" borderId="0" xfId="0" applyFill="1"/>
    <xf numFmtId="0" fontId="0" fillId="3" borderId="2" xfId="0" applyFill="1" applyBorder="1"/>
    <xf numFmtId="49" fontId="8" fillId="3" borderId="1" xfId="0" applyNumberFormat="1" applyFont="1" applyFill="1" applyBorder="1"/>
    <xf numFmtId="49" fontId="0" fillId="3" borderId="1" xfId="0" applyNumberFormat="1" applyFill="1" applyBorder="1"/>
    <xf numFmtId="0" fontId="3" fillId="3" borderId="0" xfId="0" applyFont="1" applyFill="1"/>
    <xf numFmtId="49" fontId="0" fillId="3" borderId="1" xfId="0" applyNumberFormat="1" applyFill="1" applyBorder="1" applyAlignment="1">
      <alignment vertical="center" wrapText="1"/>
    </xf>
    <xf numFmtId="49" fontId="7" fillId="4" borderId="1" xfId="0" applyNumberFormat="1" applyFont="1" applyFill="1" applyBorder="1"/>
    <xf numFmtId="0" fontId="0" fillId="4" borderId="2" xfId="0" applyFill="1" applyBorder="1"/>
    <xf numFmtId="49" fontId="3" fillId="3" borderId="1" xfId="0" applyNumberFormat="1" applyFont="1" applyFill="1" applyBorder="1"/>
    <xf numFmtId="0" fontId="0" fillId="5" borderId="0" xfId="0" applyFill="1" applyAlignment="1">
      <alignment horizontal="center"/>
    </xf>
    <xf numFmtId="0" fontId="9" fillId="3" borderId="0" xfId="0" applyFont="1" applyFill="1"/>
    <xf numFmtId="0" fontId="0" fillId="3" borderId="0" xfId="0" applyFill="1" applyAlignment="1">
      <alignment horizontal="center"/>
    </xf>
    <xf numFmtId="0" fontId="0" fillId="4" borderId="0" xfId="0" applyFill="1"/>
    <xf numFmtId="0" fontId="0" fillId="0" borderId="0" xfId="0" applyAlignment="1">
      <alignment horizontal="right"/>
    </xf>
    <xf numFmtId="49" fontId="7" fillId="3" borderId="1" xfId="0" applyNumberFormat="1" applyFont="1" applyFill="1" applyBorder="1"/>
    <xf numFmtId="0" fontId="0" fillId="3" borderId="2" xfId="0" applyFill="1" applyBorder="1" applyAlignment="1">
      <alignment horizontal="center" vertical="center" wrapText="1"/>
    </xf>
    <xf numFmtId="49" fontId="3" fillId="3" borderId="1" xfId="0" applyNumberFormat="1" applyFont="1" applyFill="1" applyBorder="1" applyAlignment="1">
      <alignment wrapText="1"/>
    </xf>
    <xf numFmtId="49" fontId="0" fillId="3" borderId="1" xfId="0" applyNumberFormat="1" applyFill="1" applyBorder="1" applyAlignment="1">
      <alignment wrapText="1"/>
    </xf>
    <xf numFmtId="0" fontId="0" fillId="3" borderId="1" xfId="0" applyFill="1" applyBorder="1"/>
    <xf numFmtId="49" fontId="3" fillId="6" borderId="1" xfId="0" applyNumberFormat="1" applyFont="1" applyFill="1" applyBorder="1"/>
    <xf numFmtId="0" fontId="9" fillId="5" borderId="0" xfId="0" applyFont="1" applyFill="1" applyAlignment="1">
      <alignment horizontal="center"/>
    </xf>
    <xf numFmtId="1" fontId="0" fillId="5" borderId="0" xfId="0" applyNumberFormat="1" applyFill="1" applyAlignment="1">
      <alignment horizontal="center"/>
    </xf>
    <xf numFmtId="49" fontId="0" fillId="3" borderId="4" xfId="0" applyNumberFormat="1" applyFill="1" applyBorder="1"/>
    <xf numFmtId="0" fontId="0" fillId="3" borderId="5" xfId="0" applyFill="1" applyBorder="1"/>
    <xf numFmtId="0" fontId="0" fillId="3" borderId="5" xfId="0" applyFill="1" applyBorder="1" applyAlignment="1">
      <alignment horizontal="center"/>
    </xf>
    <xf numFmtId="3" fontId="3" fillId="3" borderId="5" xfId="0" applyNumberFormat="1" applyFont="1" applyFill="1" applyBorder="1"/>
    <xf numFmtId="0" fontId="19" fillId="3" borderId="0" xfId="0" applyFont="1" applyFill="1"/>
    <xf numFmtId="0" fontId="19" fillId="0" borderId="0" xfId="0" applyFont="1"/>
    <xf numFmtId="0" fontId="6" fillId="0" borderId="0" xfId="0" applyFont="1"/>
    <xf numFmtId="0" fontId="3" fillId="0" borderId="0" xfId="0" applyFont="1"/>
    <xf numFmtId="0" fontId="13" fillId="0" borderId="0" xfId="0" applyFont="1"/>
    <xf numFmtId="166" fontId="0" fillId="0" borderId="0" xfId="0" applyNumberFormat="1"/>
    <xf numFmtId="2" fontId="0" fillId="0" borderId="0" xfId="0" applyNumberFormat="1"/>
    <xf numFmtId="0" fontId="0" fillId="0" borderId="3" xfId="0" applyBorder="1"/>
    <xf numFmtId="1" fontId="0" fillId="0" borderId="3" xfId="0" applyNumberFormat="1" applyBorder="1"/>
    <xf numFmtId="167" fontId="0" fillId="0" borderId="3" xfId="0" applyNumberFormat="1" applyBorder="1"/>
    <xf numFmtId="164" fontId="0" fillId="0" borderId="3" xfId="0" applyNumberFormat="1" applyBorder="1"/>
    <xf numFmtId="164" fontId="0" fillId="0" borderId="3" xfId="0" applyNumberFormat="1" applyBorder="1" applyAlignment="1">
      <alignment horizontal="right" vertical="center"/>
    </xf>
    <xf numFmtId="2" fontId="0" fillId="0" borderId="3" xfId="0" applyNumberFormat="1" applyBorder="1"/>
    <xf numFmtId="0" fontId="0" fillId="7" borderId="3" xfId="0" applyFill="1" applyBorder="1"/>
    <xf numFmtId="0" fontId="9" fillId="0" borderId="3" xfId="0" applyFont="1" applyBorder="1"/>
    <xf numFmtId="1" fontId="9" fillId="0" borderId="3" xfId="0" applyNumberFormat="1" applyFont="1" applyBorder="1"/>
    <xf numFmtId="0" fontId="0" fillId="0" borderId="3" xfId="0" applyBorder="1" applyAlignment="1">
      <alignment vertical="center"/>
    </xf>
    <xf numFmtId="0" fontId="13" fillId="0" borderId="3" xfId="0" applyFont="1" applyBorder="1"/>
    <xf numFmtId="0" fontId="9" fillId="0" borderId="0" xfId="0" applyFont="1"/>
    <xf numFmtId="166" fontId="0" fillId="0" borderId="3" xfId="0" applyNumberFormat="1" applyBorder="1"/>
    <xf numFmtId="166" fontId="0" fillId="0" borderId="3" xfId="0" applyNumberFormat="1" applyBorder="1" applyAlignment="1">
      <alignment wrapText="1"/>
    </xf>
    <xf numFmtId="0" fontId="0" fillId="0" borderId="3" xfId="0" applyBorder="1" applyAlignment="1">
      <alignment wrapText="1"/>
    </xf>
    <xf numFmtId="0" fontId="3" fillId="0" borderId="3" xfId="0" applyFont="1" applyBorder="1"/>
    <xf numFmtId="1" fontId="3" fillId="0" borderId="3" xfId="0" applyNumberFormat="1" applyFont="1" applyBorder="1"/>
    <xf numFmtId="0" fontId="3" fillId="7" borderId="3" xfId="0" applyFont="1" applyFill="1" applyBorder="1"/>
    <xf numFmtId="0" fontId="3" fillId="7" borderId="9" xfId="0" applyFont="1" applyFill="1" applyBorder="1" applyAlignment="1">
      <alignment wrapText="1"/>
    </xf>
    <xf numFmtId="0" fontId="0" fillId="0" borderId="0" xfId="0" applyAlignment="1">
      <alignment wrapText="1"/>
    </xf>
    <xf numFmtId="1" fontId="9" fillId="5" borderId="0" xfId="0" applyNumberFormat="1" applyFont="1" applyFill="1" applyAlignment="1">
      <alignment horizontal="center"/>
    </xf>
    <xf numFmtId="164" fontId="0" fillId="5" borderId="0" xfId="0" applyNumberFormat="1" applyFill="1" applyAlignment="1">
      <alignment horizontal="center"/>
    </xf>
    <xf numFmtId="0" fontId="21" fillId="0" borderId="0" xfId="0" applyFont="1"/>
    <xf numFmtId="9" fontId="0" fillId="0" borderId="3" xfId="1" applyFont="1" applyBorder="1"/>
    <xf numFmtId="0" fontId="0" fillId="5" borderId="3" xfId="0" applyFill="1" applyBorder="1" applyAlignment="1">
      <alignment horizontal="left"/>
    </xf>
    <xf numFmtId="14" fontId="0" fillId="5" borderId="3" xfId="0" applyNumberFormat="1" applyFill="1" applyBorder="1" applyAlignment="1">
      <alignment horizontal="left"/>
    </xf>
    <xf numFmtId="3" fontId="3" fillId="3" borderId="0" xfId="0" applyNumberFormat="1" applyFont="1" applyFill="1" applyAlignment="1">
      <alignment horizontal="center"/>
    </xf>
    <xf numFmtId="3" fontId="0" fillId="3" borderId="0" xfId="0" applyNumberFormat="1" applyFill="1" applyAlignment="1">
      <alignment horizontal="center"/>
    </xf>
    <xf numFmtId="9" fontId="9" fillId="8" borderId="0" xfId="1" applyFont="1" applyFill="1" applyBorder="1" applyAlignment="1">
      <alignment horizontal="center" vertical="center"/>
    </xf>
    <xf numFmtId="49" fontId="0" fillId="0" borderId="3" xfId="0" applyNumberFormat="1" applyBorder="1"/>
    <xf numFmtId="49" fontId="0" fillId="0" borderId="3" xfId="0" applyNumberFormat="1" applyBorder="1" applyAlignment="1">
      <alignment wrapText="1"/>
    </xf>
    <xf numFmtId="0" fontId="2" fillId="0" borderId="0" xfId="0" applyFont="1"/>
    <xf numFmtId="0" fontId="0" fillId="10" borderId="0" xfId="0" applyFill="1" applyAlignment="1">
      <alignment vertical="center"/>
    </xf>
    <xf numFmtId="0" fontId="23" fillId="10" borderId="0" xfId="0" applyFont="1" applyFill="1" applyAlignment="1" applyProtection="1">
      <alignment vertical="center"/>
      <protection hidden="1"/>
    </xf>
    <xf numFmtId="0" fontId="24" fillId="10" borderId="0" xfId="0" applyFont="1" applyFill="1" applyAlignment="1" applyProtection="1">
      <alignment vertical="center"/>
      <protection hidden="1"/>
    </xf>
    <xf numFmtId="0" fontId="3" fillId="10" borderId="0" xfId="0" applyFont="1" applyFill="1" applyAlignment="1">
      <alignment vertical="center"/>
    </xf>
    <xf numFmtId="0" fontId="0" fillId="10" borderId="0" xfId="0" applyFill="1" applyAlignment="1">
      <alignment horizontal="right" vertical="center"/>
    </xf>
    <xf numFmtId="14" fontId="0" fillId="10" borderId="0" xfId="0" applyNumberFormat="1" applyFill="1" applyAlignment="1">
      <alignment horizontal="right" vertical="center"/>
    </xf>
    <xf numFmtId="0" fontId="26" fillId="10" borderId="0" xfId="4" applyFont="1" applyFill="1" applyAlignment="1">
      <alignment vertical="center" wrapText="1"/>
    </xf>
    <xf numFmtId="0" fontId="2" fillId="10" borderId="0" xfId="0" applyFont="1" applyFill="1" applyAlignment="1">
      <alignment vertical="center"/>
    </xf>
    <xf numFmtId="0" fontId="27" fillId="10" borderId="0" xfId="0" applyFont="1" applyFill="1" applyAlignment="1" applyProtection="1">
      <alignment vertical="center"/>
      <protection hidden="1"/>
    </xf>
    <xf numFmtId="0" fontId="9" fillId="3" borderId="12" xfId="0" applyFont="1" applyFill="1" applyBorder="1" applyAlignment="1" applyProtection="1">
      <alignment vertical="top" wrapText="1"/>
      <protection hidden="1"/>
    </xf>
    <xf numFmtId="0" fontId="22" fillId="15" borderId="0" xfId="0" applyFont="1" applyFill="1" applyAlignment="1">
      <alignment vertical="center"/>
    </xf>
    <xf numFmtId="0" fontId="30" fillId="13" borderId="0" xfId="0" applyFont="1" applyFill="1" applyAlignment="1">
      <alignment vertical="center" wrapText="1"/>
    </xf>
    <xf numFmtId="0" fontId="9" fillId="8" borderId="0" xfId="0" applyFont="1" applyFill="1" applyAlignment="1">
      <alignment horizontal="left" vertical="center"/>
    </xf>
    <xf numFmtId="0" fontId="31" fillId="18" borderId="0" xfId="0" applyFont="1" applyFill="1" applyAlignment="1">
      <alignment vertical="center"/>
    </xf>
    <xf numFmtId="0" fontId="31" fillId="10" borderId="0" xfId="0" applyFont="1" applyFill="1" applyAlignment="1">
      <alignment vertical="center"/>
    </xf>
    <xf numFmtId="0" fontId="30" fillId="7" borderId="0" xfId="0" applyFont="1" applyFill="1" applyAlignment="1">
      <alignment vertical="center" wrapText="1"/>
    </xf>
    <xf numFmtId="9" fontId="0" fillId="5" borderId="0" xfId="1" applyFont="1" applyFill="1" applyBorder="1" applyAlignment="1">
      <alignment horizontal="center"/>
    </xf>
    <xf numFmtId="0" fontId="7" fillId="7" borderId="3" xfId="0" applyFont="1" applyFill="1" applyBorder="1"/>
    <xf numFmtId="4" fontId="9" fillId="0" borderId="0" xfId="0" applyNumberFormat="1" applyFont="1"/>
    <xf numFmtId="1" fontId="0" fillId="0" borderId="0" xfId="0" applyNumberFormat="1"/>
    <xf numFmtId="3" fontId="0" fillId="0" borderId="3" xfId="0" applyNumberFormat="1" applyBorder="1"/>
    <xf numFmtId="169" fontId="0" fillId="0" borderId="3" xfId="0" applyNumberFormat="1" applyBorder="1"/>
    <xf numFmtId="0" fontId="0" fillId="0" borderId="0" xfId="0" applyAlignment="1">
      <alignment horizontal="left" indent="1"/>
    </xf>
    <xf numFmtId="3" fontId="0" fillId="0" borderId="0" xfId="0" applyNumberFormat="1" applyAlignment="1">
      <alignment horizontal="center"/>
    </xf>
    <xf numFmtId="0" fontId="15" fillId="0" borderId="0" xfId="0" applyFont="1"/>
    <xf numFmtId="3" fontId="9" fillId="0" borderId="0" xfId="0" applyNumberFormat="1" applyFont="1"/>
    <xf numFmtId="0" fontId="33" fillId="5" borderId="0" xfId="0" applyFont="1" applyFill="1" applyAlignment="1">
      <alignment horizontal="center"/>
    </xf>
    <xf numFmtId="1" fontId="0" fillId="0" borderId="0" xfId="0" applyNumberFormat="1" applyAlignment="1">
      <alignment horizontal="center" vertical="center"/>
    </xf>
    <xf numFmtId="1" fontId="0" fillId="0" borderId="0" xfId="0" applyNumberFormat="1" applyAlignment="1">
      <alignment horizontal="center"/>
    </xf>
    <xf numFmtId="1" fontId="3" fillId="0" borderId="0" xfId="0" applyNumberFormat="1" applyFont="1" applyAlignment="1">
      <alignment horizontal="center"/>
    </xf>
    <xf numFmtId="0" fontId="0" fillId="6" borderId="0" xfId="0" applyFill="1"/>
    <xf numFmtId="167" fontId="0" fillId="0" borderId="0" xfId="0" applyNumberFormat="1"/>
    <xf numFmtId="2" fontId="0" fillId="3" borderId="0" xfId="0" applyNumberFormat="1" applyFill="1" applyAlignment="1">
      <alignment horizontal="center"/>
    </xf>
    <xf numFmtId="0" fontId="0" fillId="19" borderId="3" xfId="0" applyFill="1" applyBorder="1"/>
    <xf numFmtId="1" fontId="0" fillId="19" borderId="3" xfId="0" applyNumberFormat="1" applyFill="1" applyBorder="1"/>
    <xf numFmtId="167" fontId="0" fillId="19" borderId="3" xfId="0" applyNumberFormat="1" applyFill="1" applyBorder="1"/>
    <xf numFmtId="164" fontId="0" fillId="19" borderId="3" xfId="0" applyNumberFormat="1" applyFill="1" applyBorder="1"/>
    <xf numFmtId="0" fontId="0" fillId="3" borderId="3" xfId="0" applyFill="1" applyBorder="1"/>
    <xf numFmtId="168" fontId="0" fillId="0" borderId="3" xfId="0" applyNumberFormat="1" applyBorder="1"/>
    <xf numFmtId="3" fontId="0" fillId="3" borderId="0" xfId="0" applyNumberFormat="1" applyFill="1"/>
    <xf numFmtId="0" fontId="0" fillId="3" borderId="0" xfId="0" applyFill="1" applyAlignment="1">
      <alignment vertical="center" wrapText="1"/>
    </xf>
    <xf numFmtId="0" fontId="0" fillId="6" borderId="2" xfId="0" applyFill="1" applyBorder="1"/>
    <xf numFmtId="0" fontId="9" fillId="3" borderId="0" xfId="0" applyFont="1" applyFill="1" applyAlignment="1">
      <alignment horizontal="center"/>
    </xf>
    <xf numFmtId="0" fontId="0" fillId="3" borderId="0" xfId="0" applyFill="1" applyAlignment="1">
      <alignment horizontal="center" vertical="center" wrapText="1"/>
    </xf>
    <xf numFmtId="3" fontId="3" fillId="3" borderId="0" xfId="0" applyNumberFormat="1" applyFont="1" applyFill="1"/>
    <xf numFmtId="0" fontId="0" fillId="3" borderId="0" xfId="0" applyFill="1" applyAlignment="1">
      <alignment horizontal="right"/>
    </xf>
    <xf numFmtId="3" fontId="3" fillId="3" borderId="0" xfId="0" applyNumberFormat="1" applyFont="1" applyFill="1" applyAlignment="1">
      <alignment horizontal="right"/>
    </xf>
    <xf numFmtId="3" fontId="0" fillId="3" borderId="0" xfId="0" applyNumberFormat="1" applyFill="1" applyAlignment="1">
      <alignment horizontal="right"/>
    </xf>
    <xf numFmtId="3" fontId="11" fillId="3" borderId="0" xfId="0" applyNumberFormat="1" applyFont="1" applyFill="1" applyAlignment="1">
      <alignment horizontal="right"/>
    </xf>
    <xf numFmtId="3" fontId="11" fillId="3" borderId="0" xfId="0" applyNumberFormat="1" applyFont="1" applyFill="1"/>
    <xf numFmtId="0" fontId="9" fillId="3" borderId="2" xfId="0" applyFont="1" applyFill="1" applyBorder="1"/>
    <xf numFmtId="164" fontId="3" fillId="3" borderId="0" xfId="0" applyNumberFormat="1" applyFont="1" applyFill="1"/>
    <xf numFmtId="0" fontId="2" fillId="3" borderId="0" xfId="0" applyFont="1" applyFill="1" applyAlignment="1">
      <alignment horizontal="center"/>
    </xf>
    <xf numFmtId="164" fontId="0" fillId="3" borderId="0" xfId="0" applyNumberFormat="1" applyFill="1" applyAlignment="1">
      <alignment horizontal="center"/>
    </xf>
    <xf numFmtId="0" fontId="32" fillId="3" borderId="2" xfId="0" applyFont="1" applyFill="1" applyBorder="1"/>
    <xf numFmtId="0" fontId="0" fillId="3" borderId="5" xfId="0" applyFill="1" applyBorder="1" applyAlignment="1">
      <alignment horizontal="right"/>
    </xf>
    <xf numFmtId="0" fontId="7" fillId="3" borderId="0" xfId="0" applyFont="1" applyFill="1"/>
    <xf numFmtId="0" fontId="3" fillId="6" borderId="0" xfId="0" applyFont="1" applyFill="1"/>
    <xf numFmtId="1" fontId="3" fillId="6" borderId="0" xfId="0" applyNumberFormat="1" applyFont="1" applyFill="1" applyAlignment="1">
      <alignment horizontal="center"/>
    </xf>
    <xf numFmtId="3" fontId="3" fillId="6" borderId="0" xfId="0" applyNumberFormat="1" applyFont="1" applyFill="1"/>
    <xf numFmtId="0" fontId="0" fillId="6" borderId="0" xfId="0" applyFill="1" applyAlignment="1">
      <alignment horizontal="right"/>
    </xf>
    <xf numFmtId="0" fontId="3" fillId="3" borderId="0" xfId="0" applyFont="1" applyFill="1" applyAlignment="1">
      <alignment horizontal="center" vertical="center" wrapText="1"/>
    </xf>
    <xf numFmtId="0" fontId="11" fillId="3" borderId="0" xfId="0" applyFont="1" applyFill="1" applyAlignment="1">
      <alignment horizontal="center" vertical="center" wrapText="1"/>
    </xf>
    <xf numFmtId="3" fontId="3" fillId="3" borderId="0" xfId="0" applyNumberFormat="1" applyFont="1" applyFill="1" applyAlignment="1">
      <alignment horizontal="right" vertical="center" wrapText="1"/>
    </xf>
    <xf numFmtId="3" fontId="3" fillId="3" borderId="0" xfId="0" applyNumberFormat="1" applyFont="1" applyFill="1" applyAlignment="1">
      <alignment horizontal="center" vertical="center" wrapText="1"/>
    </xf>
    <xf numFmtId="0" fontId="0" fillId="3" borderId="0" xfId="0" applyFill="1" applyAlignment="1">
      <alignment wrapText="1"/>
    </xf>
    <xf numFmtId="49" fontId="0" fillId="5" borderId="0" xfId="0" applyNumberFormat="1" applyFill="1" applyAlignment="1">
      <alignment horizontal="center" wrapText="1"/>
    </xf>
    <xf numFmtId="0" fontId="0" fillId="5" borderId="0" xfId="0" applyFill="1" applyAlignment="1">
      <alignment horizontal="center" wrapText="1"/>
    </xf>
    <xf numFmtId="0" fontId="0" fillId="3" borderId="0" xfId="0" applyFill="1" applyAlignment="1">
      <alignment horizontal="right" wrapText="1"/>
    </xf>
    <xf numFmtId="3" fontId="3" fillId="3" borderId="0" xfId="0" applyNumberFormat="1" applyFont="1" applyFill="1" applyAlignment="1">
      <alignment wrapText="1"/>
    </xf>
    <xf numFmtId="2" fontId="0" fillId="5" borderId="0" xfId="0" applyNumberFormat="1" applyFill="1" applyAlignment="1">
      <alignment horizontal="center"/>
    </xf>
    <xf numFmtId="0" fontId="2" fillId="5" borderId="0" xfId="0" applyFont="1" applyFill="1" applyAlignment="1">
      <alignment horizontal="center" wrapText="1"/>
    </xf>
    <xf numFmtId="164" fontId="9" fillId="5" borderId="0" xfId="0" applyNumberFormat="1" applyFont="1" applyFill="1" applyAlignment="1">
      <alignment horizontal="center" wrapText="1"/>
    </xf>
    <xf numFmtId="164" fontId="9" fillId="5" borderId="0" xfId="0" applyNumberFormat="1" applyFont="1" applyFill="1" applyAlignment="1">
      <alignment horizontal="center"/>
    </xf>
    <xf numFmtId="0" fontId="9" fillId="5" borderId="0" xfId="0" applyFont="1" applyFill="1" applyAlignment="1">
      <alignment horizontal="center" wrapText="1"/>
    </xf>
    <xf numFmtId="49" fontId="0" fillId="5" borderId="0" xfId="0" applyNumberFormat="1" applyFill="1" applyAlignment="1">
      <alignment horizontal="center"/>
    </xf>
    <xf numFmtId="0" fontId="12" fillId="3" borderId="0" xfId="0" applyFont="1" applyFill="1"/>
    <xf numFmtId="0" fontId="13" fillId="3" borderId="0" xfId="0" applyFont="1" applyFill="1"/>
    <xf numFmtId="164" fontId="0" fillId="3" borderId="0" xfId="0" applyNumberFormat="1" applyFill="1" applyAlignment="1">
      <alignment horizontal="right"/>
    </xf>
    <xf numFmtId="3" fontId="13" fillId="3" borderId="0" xfId="0" applyNumberFormat="1" applyFont="1" applyFill="1"/>
    <xf numFmtId="0" fontId="13" fillId="3" borderId="0" xfId="0" applyFont="1" applyFill="1" applyAlignment="1">
      <alignment horizontal="right"/>
    </xf>
    <xf numFmtId="0" fontId="0" fillId="0" borderId="2" xfId="0" applyBorder="1"/>
    <xf numFmtId="3" fontId="9" fillId="5" borderId="0" xfId="0" applyNumberFormat="1" applyFont="1" applyFill="1" applyAlignment="1">
      <alignment horizontal="center"/>
    </xf>
    <xf numFmtId="165" fontId="9" fillId="3" borderId="0" xfId="0" applyNumberFormat="1" applyFont="1" applyFill="1" applyAlignment="1">
      <alignment horizontal="center"/>
    </xf>
    <xf numFmtId="1" fontId="0" fillId="3" borderId="0" xfId="0" applyNumberFormat="1" applyFill="1" applyAlignment="1">
      <alignment horizontal="center"/>
    </xf>
    <xf numFmtId="3" fontId="3" fillId="6" borderId="0" xfId="0" applyNumberFormat="1" applyFont="1" applyFill="1" applyAlignment="1">
      <alignment horizontal="center"/>
    </xf>
    <xf numFmtId="3" fontId="11" fillId="6" borderId="0" xfId="0" applyNumberFormat="1" applyFont="1" applyFill="1" applyAlignment="1">
      <alignment horizontal="center"/>
    </xf>
    <xf numFmtId="0" fontId="16" fillId="3" borderId="0" xfId="0" applyFont="1" applyFill="1"/>
    <xf numFmtId="1" fontId="16" fillId="3" borderId="0" xfId="0" applyNumberFormat="1" applyFont="1" applyFill="1" applyAlignment="1">
      <alignment horizontal="center"/>
    </xf>
    <xf numFmtId="0" fontId="3" fillId="3" borderId="0" xfId="0" applyFont="1" applyFill="1" applyAlignment="1">
      <alignment wrapText="1"/>
    </xf>
    <xf numFmtId="3" fontId="3" fillId="3" borderId="0" xfId="0" applyNumberFormat="1" applyFont="1" applyFill="1" applyAlignment="1">
      <alignment horizontal="right" wrapText="1"/>
    </xf>
    <xf numFmtId="1" fontId="3" fillId="3" borderId="0" xfId="0" applyNumberFormat="1" applyFont="1" applyFill="1" applyAlignment="1">
      <alignment horizontal="center"/>
    </xf>
    <xf numFmtId="1" fontId="9" fillId="3" borderId="0" xfId="0" applyNumberFormat="1" applyFont="1" applyFill="1" applyAlignment="1">
      <alignment horizontal="center"/>
    </xf>
    <xf numFmtId="165" fontId="0" fillId="3" borderId="0" xfId="0" applyNumberFormat="1" applyFill="1"/>
    <xf numFmtId="165" fontId="0" fillId="5" borderId="0" xfId="0" applyNumberFormat="1" applyFill="1" applyAlignment="1">
      <alignment horizontal="center"/>
    </xf>
    <xf numFmtId="4" fontId="3" fillId="3" borderId="0" xfId="0" applyNumberFormat="1" applyFont="1" applyFill="1" applyAlignment="1">
      <alignment horizontal="center"/>
    </xf>
    <xf numFmtId="3" fontId="0" fillId="5" borderId="0" xfId="0" applyNumberFormat="1" applyFill="1" applyAlignment="1">
      <alignment horizontal="center"/>
    </xf>
    <xf numFmtId="3" fontId="3" fillId="6" borderId="0" xfId="0" applyNumberFormat="1" applyFont="1" applyFill="1" applyAlignment="1">
      <alignment horizontal="center" vertical="center"/>
    </xf>
    <xf numFmtId="164" fontId="9" fillId="3" borderId="0" xfId="0" applyNumberFormat="1" applyFont="1" applyFill="1" applyAlignment="1">
      <alignment horizontal="center"/>
    </xf>
    <xf numFmtId="3" fontId="3" fillId="6" borderId="0" xfId="0" applyNumberFormat="1" applyFont="1" applyFill="1" applyAlignment="1">
      <alignment horizontal="right" vertical="center"/>
    </xf>
    <xf numFmtId="3" fontId="3" fillId="3" borderId="0" xfId="0" applyNumberFormat="1" applyFont="1" applyFill="1" applyAlignment="1">
      <alignment horizontal="center" vertical="center"/>
    </xf>
    <xf numFmtId="0" fontId="2" fillId="5" borderId="0" xfId="0" applyFont="1" applyFill="1" applyAlignment="1">
      <alignment horizontal="center"/>
    </xf>
    <xf numFmtId="3" fontId="9" fillId="3" borderId="0" xfId="0" applyNumberFormat="1" applyFont="1" applyFill="1" applyAlignment="1">
      <alignment horizontal="center"/>
    </xf>
    <xf numFmtId="3" fontId="12" fillId="3" borderId="0" xfId="0" applyNumberFormat="1" applyFont="1" applyFill="1" applyAlignment="1">
      <alignment horizontal="center"/>
    </xf>
    <xf numFmtId="3" fontId="12" fillId="3" borderId="0" xfId="0" applyNumberFormat="1" applyFont="1" applyFill="1"/>
    <xf numFmtId="3" fontId="13" fillId="3" borderId="0" xfId="0" applyNumberFormat="1" applyFont="1" applyFill="1" applyAlignment="1">
      <alignment horizontal="center"/>
    </xf>
    <xf numFmtId="3" fontId="12" fillId="3" borderId="0" xfId="0" applyNumberFormat="1" applyFont="1" applyFill="1" applyAlignment="1">
      <alignment horizontal="right"/>
    </xf>
    <xf numFmtId="0" fontId="11" fillId="3" borderId="0" xfId="0" applyFont="1" applyFill="1"/>
    <xf numFmtId="3" fontId="3" fillId="6" borderId="2" xfId="0" applyNumberFormat="1" applyFont="1" applyFill="1" applyBorder="1"/>
    <xf numFmtId="3" fontId="3" fillId="3" borderId="2" xfId="0" applyNumberFormat="1" applyFont="1" applyFill="1" applyBorder="1"/>
    <xf numFmtId="0" fontId="3" fillId="3" borderId="0" xfId="0" applyFont="1" applyFill="1" applyAlignment="1">
      <alignment horizontal="right"/>
    </xf>
    <xf numFmtId="0" fontId="5" fillId="2" borderId="17" xfId="2" applyFont="1" applyFill="1" applyBorder="1" applyAlignment="1">
      <alignment horizontal="left" vertical="top"/>
    </xf>
    <xf numFmtId="0" fontId="0" fillId="2" borderId="18" xfId="0" applyFill="1" applyBorder="1"/>
    <xf numFmtId="0" fontId="0" fillId="2" borderId="18" xfId="0" applyFill="1" applyBorder="1" applyAlignment="1">
      <alignment horizontal="center"/>
    </xf>
    <xf numFmtId="3" fontId="3" fillId="2" borderId="18" xfId="0" applyNumberFormat="1" applyFont="1" applyFill="1" applyBorder="1" applyAlignment="1">
      <alignment horizontal="right"/>
    </xf>
    <xf numFmtId="3" fontId="3" fillId="2" borderId="18" xfId="0" applyNumberFormat="1" applyFont="1" applyFill="1" applyBorder="1"/>
    <xf numFmtId="0" fontId="0" fillId="2" borderId="19" xfId="0" applyFill="1" applyBorder="1"/>
    <xf numFmtId="0" fontId="18" fillId="3" borderId="1" xfId="2" applyFont="1" applyFill="1" applyBorder="1" applyAlignment="1">
      <alignment horizontal="left" vertical="top"/>
    </xf>
    <xf numFmtId="0" fontId="19" fillId="3" borderId="0" xfId="0" applyFont="1" applyFill="1" applyAlignment="1">
      <alignment horizontal="center"/>
    </xf>
    <xf numFmtId="3" fontId="6" fillId="3" borderId="0" xfId="0" applyNumberFormat="1" applyFont="1" applyFill="1" applyAlignment="1">
      <alignment horizontal="right"/>
    </xf>
    <xf numFmtId="3" fontId="6" fillId="3" borderId="0" xfId="0" applyNumberFormat="1" applyFont="1" applyFill="1"/>
    <xf numFmtId="0" fontId="19" fillId="3" borderId="2" xfId="0" applyFont="1" applyFill="1" applyBorder="1"/>
    <xf numFmtId="0" fontId="17" fillId="3" borderId="1" xfId="2" applyFont="1" applyFill="1" applyBorder="1" applyAlignment="1">
      <alignment horizontal="left" vertical="top"/>
    </xf>
    <xf numFmtId="3" fontId="3" fillId="0" borderId="0" xfId="0" applyNumberFormat="1" applyFont="1" applyAlignment="1">
      <alignment horizontal="center"/>
    </xf>
    <xf numFmtId="0" fontId="2" fillId="3" borderId="0" xfId="0" applyFont="1" applyFill="1" applyAlignment="1">
      <alignment vertical="center" wrapText="1"/>
    </xf>
    <xf numFmtId="0" fontId="9" fillId="3" borderId="0" xfId="0" applyFont="1" applyFill="1" applyAlignment="1">
      <alignment vertical="center" wrapText="1"/>
    </xf>
    <xf numFmtId="3" fontId="3" fillId="0" borderId="0" xfId="0" applyNumberFormat="1" applyFont="1" applyAlignment="1">
      <alignment horizontal="right" vertical="center" wrapText="1"/>
    </xf>
    <xf numFmtId="3" fontId="3" fillId="3" borderId="0" xfId="0" applyNumberFormat="1" applyFont="1" applyFill="1" applyAlignment="1">
      <alignment vertical="center" wrapText="1"/>
    </xf>
    <xf numFmtId="0" fontId="0" fillId="3" borderId="2" xfId="0" applyFill="1" applyBorder="1" applyAlignment="1">
      <alignment vertical="center" wrapText="1"/>
    </xf>
    <xf numFmtId="0" fontId="7" fillId="4" borderId="0" xfId="0" applyFont="1" applyFill="1"/>
    <xf numFmtId="1" fontId="0" fillId="4" borderId="0" xfId="0" applyNumberFormat="1" applyFill="1" applyAlignment="1">
      <alignment horizontal="center"/>
    </xf>
    <xf numFmtId="3" fontId="3" fillId="4" borderId="0" xfId="0" applyNumberFormat="1" applyFont="1" applyFill="1" applyAlignment="1">
      <alignment horizontal="right"/>
    </xf>
    <xf numFmtId="3" fontId="3" fillId="4" borderId="0" xfId="0" applyNumberFormat="1" applyFont="1" applyFill="1"/>
    <xf numFmtId="0" fontId="0" fillId="4" borderId="0" xfId="0" applyFill="1" applyAlignment="1">
      <alignment horizontal="right"/>
    </xf>
    <xf numFmtId="0" fontId="0" fillId="0" borderId="1" xfId="0" applyBorder="1"/>
    <xf numFmtId="3" fontId="3" fillId="4" borderId="0" xfId="0" applyNumberFormat="1" applyFont="1" applyFill="1" applyAlignment="1">
      <alignment horizontal="center" vertical="center"/>
    </xf>
    <xf numFmtId="3" fontId="3" fillId="4" borderId="0" xfId="0" applyNumberFormat="1" applyFont="1" applyFill="1" applyAlignment="1">
      <alignment horizontal="center"/>
    </xf>
    <xf numFmtId="0" fontId="3" fillId="3" borderId="0" xfId="0" applyFont="1" applyFill="1" applyAlignment="1">
      <alignment horizontal="center" vertical="center"/>
    </xf>
    <xf numFmtId="0" fontId="11" fillId="19" borderId="0" xfId="0" applyFont="1" applyFill="1" applyAlignment="1">
      <alignment horizontal="center" vertical="top" wrapText="1"/>
    </xf>
    <xf numFmtId="0" fontId="0" fillId="7" borderId="3" xfId="0" applyFill="1" applyBorder="1" applyAlignment="1">
      <alignment horizontal="left" vertical="center"/>
    </xf>
    <xf numFmtId="0" fontId="0" fillId="7" borderId="3" xfId="0" applyFill="1" applyBorder="1" applyAlignment="1">
      <alignment horizontal="left" vertical="center" wrapText="1"/>
    </xf>
    <xf numFmtId="0" fontId="0" fillId="7" borderId="7" xfId="0" applyFill="1" applyBorder="1" applyAlignment="1">
      <alignment horizontal="left" vertical="center"/>
    </xf>
    <xf numFmtId="166" fontId="0" fillId="7" borderId="3" xfId="0" applyNumberFormat="1" applyFill="1" applyBorder="1" applyAlignment="1">
      <alignment horizontal="left" vertical="center"/>
    </xf>
    <xf numFmtId="0" fontId="0" fillId="7" borderId="7" xfId="0" applyFill="1" applyBorder="1" applyAlignment="1">
      <alignment horizontal="left" vertical="center" wrapText="1"/>
    </xf>
    <xf numFmtId="0" fontId="0" fillId="0" borderId="3" xfId="0" applyBorder="1" applyAlignment="1">
      <alignment horizontal="right"/>
    </xf>
    <xf numFmtId="0" fontId="3" fillId="0" borderId="3" xfId="0" applyFont="1" applyBorder="1" applyAlignment="1">
      <alignment horizontal="right"/>
    </xf>
    <xf numFmtId="0" fontId="9" fillId="0" borderId="0" xfId="0" quotePrefix="1" applyFont="1"/>
    <xf numFmtId="0" fontId="34" fillId="3" borderId="0" xfId="0" applyFont="1" applyFill="1" applyAlignment="1">
      <alignment wrapText="1"/>
    </xf>
    <xf numFmtId="9" fontId="0" fillId="3" borderId="3" xfId="0" applyNumberFormat="1" applyFill="1" applyBorder="1"/>
    <xf numFmtId="4" fontId="9" fillId="0" borderId="3" xfId="0" applyNumberFormat="1" applyFont="1" applyBorder="1"/>
    <xf numFmtId="0" fontId="17" fillId="0" borderId="0" xfId="0" applyFont="1"/>
    <xf numFmtId="0" fontId="2" fillId="3" borderId="0" xfId="0" applyFont="1" applyFill="1" applyAlignment="1">
      <alignment horizontal="right"/>
    </xf>
    <xf numFmtId="1" fontId="3" fillId="5" borderId="0" xfId="0" applyNumberFormat="1" applyFont="1" applyFill="1" applyAlignment="1">
      <alignment horizontal="center"/>
    </xf>
    <xf numFmtId="4" fontId="9" fillId="3" borderId="0" xfId="0" applyNumberFormat="1" applyFont="1" applyFill="1" applyAlignment="1">
      <alignment horizontal="center"/>
    </xf>
    <xf numFmtId="4" fontId="9" fillId="5" borderId="0" xfId="0" applyNumberFormat="1" applyFont="1" applyFill="1" applyAlignment="1">
      <alignment horizontal="center"/>
    </xf>
    <xf numFmtId="0" fontId="13" fillId="0" borderId="0" xfId="0" applyFont="1" applyAlignment="1">
      <alignment horizontal="right"/>
    </xf>
    <xf numFmtId="166" fontId="0" fillId="0" borderId="0" xfId="0" applyNumberFormat="1" applyAlignment="1">
      <alignment horizontal="right"/>
    </xf>
    <xf numFmtId="0" fontId="32" fillId="0" borderId="3" xfId="0" applyFont="1" applyBorder="1" applyAlignment="1">
      <alignment horizontal="left" indent="1"/>
    </xf>
    <xf numFmtId="3" fontId="0" fillId="0" borderId="3" xfId="0" applyNumberFormat="1" applyBorder="1" applyAlignment="1">
      <alignment horizontal="right"/>
    </xf>
    <xf numFmtId="0" fontId="0" fillId="0" borderId="3" xfId="0" applyBorder="1" applyAlignment="1">
      <alignment horizontal="left" indent="1"/>
    </xf>
    <xf numFmtId="0" fontId="0" fillId="0" borderId="3" xfId="0" applyBorder="1" applyAlignment="1">
      <alignment horizontal="left"/>
    </xf>
    <xf numFmtId="0" fontId="6" fillId="7" borderId="3" xfId="0" applyFont="1" applyFill="1" applyBorder="1"/>
    <xf numFmtId="0" fontId="9" fillId="0" borderId="3" xfId="0" applyFont="1" applyBorder="1" applyAlignment="1">
      <alignment horizontal="right"/>
    </xf>
    <xf numFmtId="3" fontId="9" fillId="0" borderId="3" xfId="0" applyNumberFormat="1" applyFont="1" applyBorder="1" applyAlignment="1">
      <alignment horizontal="right"/>
    </xf>
    <xf numFmtId="165" fontId="9" fillId="0" borderId="3" xfId="0" applyNumberFormat="1" applyFont="1" applyBorder="1" applyAlignment="1">
      <alignment horizontal="right"/>
    </xf>
    <xf numFmtId="165" fontId="0" fillId="0" borderId="3" xfId="0" applyNumberFormat="1" applyBorder="1"/>
    <xf numFmtId="167" fontId="9" fillId="0" borderId="3" xfId="0" applyNumberFormat="1" applyFont="1" applyBorder="1" applyAlignment="1">
      <alignment horizontal="right"/>
    </xf>
    <xf numFmtId="167" fontId="9" fillId="0" borderId="3" xfId="0" applyNumberFormat="1" applyFont="1" applyBorder="1"/>
    <xf numFmtId="3" fontId="9" fillId="0" borderId="3" xfId="0" applyNumberFormat="1" applyFont="1" applyBorder="1"/>
    <xf numFmtId="165" fontId="9" fillId="0" borderId="3" xfId="0" applyNumberFormat="1" applyFont="1" applyBorder="1"/>
    <xf numFmtId="0" fontId="13" fillId="0" borderId="3" xfId="0" applyFont="1" applyBorder="1" applyAlignment="1">
      <alignment horizontal="right"/>
    </xf>
    <xf numFmtId="166" fontId="0" fillId="0" borderId="3" xfId="0" applyNumberFormat="1" applyBorder="1" applyAlignment="1">
      <alignment horizontal="right"/>
    </xf>
    <xf numFmtId="0" fontId="3" fillId="7" borderId="3" xfId="0" applyFont="1" applyFill="1" applyBorder="1" applyAlignment="1">
      <alignment horizontal="left" indent="1"/>
    </xf>
    <xf numFmtId="0" fontId="0" fillId="7" borderId="3" xfId="0" applyFill="1" applyBorder="1" applyAlignment="1">
      <alignment horizontal="center" vertical="center"/>
    </xf>
    <xf numFmtId="0" fontId="9" fillId="7" borderId="3" xfId="0" applyFont="1" applyFill="1" applyBorder="1" applyAlignment="1">
      <alignment horizontal="center" vertical="center"/>
    </xf>
    <xf numFmtId="166" fontId="0" fillId="7" borderId="3" xfId="0" applyNumberFormat="1" applyFill="1" applyBorder="1" applyAlignment="1">
      <alignment horizontal="center" vertical="center"/>
    </xf>
    <xf numFmtId="4" fontId="0" fillId="0" borderId="3" xfId="0" applyNumberFormat="1" applyBorder="1"/>
    <xf numFmtId="0" fontId="0" fillId="7" borderId="9" xfId="0" applyFill="1" applyBorder="1" applyAlignment="1">
      <alignment wrapText="1"/>
    </xf>
    <xf numFmtId="49" fontId="0" fillId="7" borderId="9" xfId="0" applyNumberFormat="1" applyFill="1" applyBorder="1" applyAlignment="1">
      <alignment wrapText="1"/>
    </xf>
    <xf numFmtId="0" fontId="19" fillId="7" borderId="3" xfId="0" applyFont="1" applyFill="1" applyBorder="1"/>
    <xf numFmtId="0" fontId="2" fillId="0" borderId="0" xfId="0" applyFont="1" applyAlignment="1">
      <alignment vertical="center" wrapText="1"/>
    </xf>
    <xf numFmtId="167" fontId="0" fillId="5" borderId="0" xfId="0" applyNumberFormat="1" applyFill="1" applyAlignment="1">
      <alignment horizontal="center"/>
    </xf>
    <xf numFmtId="0" fontId="3" fillId="7" borderId="20" xfId="0" applyFont="1" applyFill="1" applyBorder="1" applyAlignment="1">
      <alignment wrapText="1"/>
    </xf>
    <xf numFmtId="49" fontId="0" fillId="7" borderId="3" xfId="0" applyNumberFormat="1" applyFill="1" applyBorder="1"/>
    <xf numFmtId="0" fontId="0" fillId="5" borderId="3" xfId="0" applyFill="1" applyBorder="1"/>
    <xf numFmtId="3" fontId="0" fillId="0" borderId="0" xfId="0" applyNumberFormat="1"/>
    <xf numFmtId="166" fontId="0" fillId="0" borderId="3" xfId="0" applyNumberFormat="1" applyBorder="1" applyAlignment="1">
      <alignment horizontal="center" vertical="center"/>
    </xf>
    <xf numFmtId="0" fontId="3" fillId="7" borderId="3" xfId="0" applyFont="1" applyFill="1" applyBorder="1" applyAlignment="1">
      <alignment wrapText="1"/>
    </xf>
    <xf numFmtId="0" fontId="22" fillId="15" borderId="0" xfId="0" applyFont="1" applyFill="1" applyAlignment="1">
      <alignment vertical="top"/>
    </xf>
    <xf numFmtId="0" fontId="9" fillId="19" borderId="3" xfId="0" applyFont="1" applyFill="1" applyBorder="1"/>
    <xf numFmtId="0" fontId="9" fillId="3" borderId="0" xfId="0" applyFont="1" applyFill="1" applyAlignment="1">
      <alignment horizontal="right"/>
    </xf>
    <xf numFmtId="3" fontId="3" fillId="3" borderId="0" xfId="0" applyNumberFormat="1" applyFont="1" applyFill="1" applyAlignment="1">
      <alignment horizontal="right" vertical="center"/>
    </xf>
    <xf numFmtId="0" fontId="3" fillId="3" borderId="2" xfId="0" applyFont="1" applyFill="1" applyBorder="1" applyAlignment="1">
      <alignment horizontal="left" vertical="center"/>
    </xf>
    <xf numFmtId="0" fontId="0" fillId="14" borderId="0" xfId="0" applyFill="1" applyAlignment="1">
      <alignment vertical="center" wrapText="1"/>
    </xf>
    <xf numFmtId="0" fontId="11" fillId="4" borderId="12" xfId="0" applyFont="1" applyFill="1" applyBorder="1" applyAlignment="1" applyProtection="1">
      <alignment vertical="top" wrapText="1"/>
      <protection hidden="1"/>
    </xf>
    <xf numFmtId="0" fontId="9" fillId="9" borderId="12" xfId="0" applyFont="1" applyFill="1" applyBorder="1" applyAlignment="1" applyProtection="1">
      <alignment vertical="top" wrapText="1"/>
      <protection hidden="1"/>
    </xf>
    <xf numFmtId="0" fontId="9" fillId="9" borderId="16" xfId="0" applyFont="1" applyFill="1" applyBorder="1" applyAlignment="1" applyProtection="1">
      <alignment vertical="top" wrapText="1"/>
      <protection hidden="1"/>
    </xf>
    <xf numFmtId="0" fontId="13" fillId="0" borderId="7" xfId="0" applyFont="1" applyBorder="1"/>
    <xf numFmtId="0" fontId="35" fillId="19" borderId="7" xfId="0" applyFont="1" applyFill="1" applyBorder="1"/>
    <xf numFmtId="0" fontId="35" fillId="0" borderId="7" xfId="0" applyFont="1" applyBorder="1"/>
    <xf numFmtId="0" fontId="36" fillId="19" borderId="7" xfId="3" applyFont="1" applyFill="1" applyBorder="1"/>
    <xf numFmtId="0" fontId="37" fillId="0" borderId="3" xfId="3" applyFont="1" applyBorder="1"/>
    <xf numFmtId="0" fontId="0" fillId="19" borderId="3" xfId="0" applyFill="1" applyBorder="1" applyAlignment="1">
      <alignment horizontal="right"/>
    </xf>
    <xf numFmtId="0" fontId="3" fillId="3" borderId="0" xfId="0" applyFont="1" applyFill="1" applyAlignment="1">
      <alignment horizontal="left" vertical="center" wrapText="1"/>
    </xf>
    <xf numFmtId="49" fontId="0" fillId="3" borderId="0" xfId="0" applyNumberFormat="1" applyFill="1" applyAlignment="1">
      <alignment horizontal="center"/>
    </xf>
    <xf numFmtId="49" fontId="3" fillId="3" borderId="1" xfId="0" applyNumberFormat="1" applyFont="1" applyFill="1" applyBorder="1" applyAlignment="1">
      <alignment horizontal="left" vertical="center" wrapText="1"/>
    </xf>
    <xf numFmtId="0" fontId="0" fillId="3" borderId="0" xfId="0" applyFill="1" applyAlignment="1">
      <alignment horizontal="left"/>
    </xf>
    <xf numFmtId="2" fontId="3" fillId="5" borderId="0" xfId="0" applyNumberFormat="1" applyFont="1" applyFill="1" applyAlignment="1">
      <alignment horizontal="center"/>
    </xf>
    <xf numFmtId="0" fontId="38" fillId="19" borderId="3" xfId="0" applyFont="1" applyFill="1" applyBorder="1" applyAlignment="1">
      <alignment horizontal="center" vertical="top" wrapText="1"/>
    </xf>
    <xf numFmtId="0" fontId="3" fillId="0" borderId="3" xfId="0" applyFont="1" applyBorder="1" applyAlignment="1">
      <alignment horizontal="left"/>
    </xf>
    <xf numFmtId="0" fontId="3" fillId="0" borderId="0" xfId="0" applyFont="1" applyAlignment="1">
      <alignment horizontal="right"/>
    </xf>
    <xf numFmtId="0" fontId="0" fillId="0" borderId="0" xfId="0" applyAlignment="1">
      <alignment horizontal="center"/>
    </xf>
    <xf numFmtId="0" fontId="32" fillId="0" borderId="0" xfId="0" applyFont="1" applyAlignment="1">
      <alignment horizontal="left" indent="1"/>
    </xf>
    <xf numFmtId="2" fontId="0" fillId="0" borderId="3" xfId="0" applyNumberFormat="1" applyBorder="1" applyAlignment="1">
      <alignment horizontal="right"/>
    </xf>
    <xf numFmtId="0" fontId="20" fillId="0" borderId="3" xfId="3" applyBorder="1"/>
    <xf numFmtId="164" fontId="9" fillId="0" borderId="3" xfId="0" applyNumberFormat="1" applyFont="1" applyBorder="1" applyAlignment="1">
      <alignment horizontal="right"/>
    </xf>
    <xf numFmtId="164" fontId="9" fillId="0" borderId="3" xfId="0" applyNumberFormat="1" applyFont="1" applyBorder="1"/>
    <xf numFmtId="1" fontId="9" fillId="0" borderId="3" xfId="0" applyNumberFormat="1" applyFont="1" applyBorder="1" applyAlignment="1">
      <alignment horizontal="right"/>
    </xf>
    <xf numFmtId="0" fontId="32" fillId="0" borderId="0" xfId="0" applyFont="1"/>
    <xf numFmtId="0" fontId="0" fillId="5" borderId="0" xfId="0" applyFill="1"/>
    <xf numFmtId="0" fontId="40" fillId="0" borderId="0" xfId="0" applyFont="1"/>
    <xf numFmtId="0" fontId="0" fillId="0" borderId="7" xfId="0" applyBorder="1"/>
    <xf numFmtId="2" fontId="0" fillId="0" borderId="7" xfId="0" applyNumberFormat="1" applyBorder="1" applyAlignment="1">
      <alignment horizontal="right"/>
    </xf>
    <xf numFmtId="2" fontId="0" fillId="5" borderId="0" xfId="0" applyNumberFormat="1" applyFill="1"/>
    <xf numFmtId="0" fontId="0" fillId="5" borderId="0" xfId="0" applyFill="1" applyAlignment="1">
      <alignment horizontal="right"/>
    </xf>
    <xf numFmtId="2" fontId="0" fillId="4" borderId="0" xfId="0" applyNumberFormat="1" applyFill="1"/>
    <xf numFmtId="165" fontId="0" fillId="0" borderId="7" xfId="0" applyNumberFormat="1" applyBorder="1"/>
    <xf numFmtId="164" fontId="0" fillId="0" borderId="8" xfId="0" applyNumberFormat="1" applyBorder="1"/>
    <xf numFmtId="0" fontId="0" fillId="0" borderId="22" xfId="0" applyBorder="1"/>
    <xf numFmtId="0" fontId="0" fillId="0" borderId="23" xfId="0" applyBorder="1"/>
    <xf numFmtId="165" fontId="0" fillId="0" borderId="22" xfId="0" applyNumberFormat="1" applyBorder="1"/>
    <xf numFmtId="166" fontId="0" fillId="0" borderId="8" xfId="0" applyNumberFormat="1" applyBorder="1"/>
    <xf numFmtId="164" fontId="0" fillId="0" borderId="21" xfId="0" applyNumberFormat="1" applyBorder="1"/>
    <xf numFmtId="164" fontId="0" fillId="0" borderId="22" xfId="0" applyNumberFormat="1" applyBorder="1"/>
    <xf numFmtId="3" fontId="3" fillId="6" borderId="0" xfId="0" applyNumberFormat="1" applyFont="1" applyFill="1" applyAlignment="1">
      <alignment horizontal="left" vertical="center"/>
    </xf>
    <xf numFmtId="164" fontId="0" fillId="4" borderId="0" xfId="0" applyNumberFormat="1" applyFill="1" applyAlignment="1">
      <alignment horizontal="center"/>
    </xf>
    <xf numFmtId="0" fontId="32" fillId="4" borderId="2" xfId="0" applyFont="1" applyFill="1" applyBorder="1"/>
    <xf numFmtId="0" fontId="0" fillId="0" borderId="0" xfId="0" applyFont="1"/>
    <xf numFmtId="0" fontId="13" fillId="0" borderId="0" xfId="0" applyFont="1" applyAlignment="1">
      <alignment vertical="top" wrapText="1"/>
    </xf>
    <xf numFmtId="0" fontId="41" fillId="0" borderId="0" xfId="0" quotePrefix="1" applyFont="1"/>
    <xf numFmtId="0" fontId="42" fillId="0" borderId="0" xfId="0" applyFont="1"/>
    <xf numFmtId="0" fontId="0" fillId="3" borderId="0" xfId="0" applyFill="1" applyAlignment="1">
      <alignment horizontal="left" vertical="center" wrapText="1"/>
    </xf>
    <xf numFmtId="0" fontId="11" fillId="11" borderId="12" xfId="0" applyFont="1" applyFill="1" applyBorder="1" applyAlignment="1" applyProtection="1">
      <alignment horizontal="left" vertical="top" wrapText="1"/>
      <protection hidden="1"/>
    </xf>
    <xf numFmtId="0" fontId="11" fillId="11" borderId="0" xfId="0" applyFont="1" applyFill="1" applyAlignment="1" applyProtection="1">
      <alignment horizontal="left" vertical="top" wrapText="1"/>
      <protection hidden="1"/>
    </xf>
    <xf numFmtId="0" fontId="9" fillId="6" borderId="0" xfId="0" applyFont="1" applyFill="1" applyAlignment="1" applyProtection="1">
      <alignment horizontal="left" vertical="top" wrapText="1"/>
      <protection hidden="1"/>
    </xf>
    <xf numFmtId="0" fontId="11" fillId="3" borderId="10" xfId="0" applyFont="1" applyFill="1" applyBorder="1" applyAlignment="1" applyProtection="1">
      <alignment horizontal="left" vertical="top" wrapText="1"/>
      <protection hidden="1"/>
    </xf>
    <xf numFmtId="0" fontId="11" fillId="3" borderId="11" xfId="0" applyFont="1" applyFill="1" applyBorder="1" applyAlignment="1" applyProtection="1">
      <alignment horizontal="left" vertical="top" wrapText="1"/>
      <protection hidden="1"/>
    </xf>
    <xf numFmtId="1" fontId="3" fillId="5" borderId="0" xfId="0" applyNumberFormat="1" applyFont="1" applyFill="1" applyAlignment="1">
      <alignment horizontal="left" vertical="center"/>
    </xf>
    <xf numFmtId="0" fontId="9" fillId="3" borderId="0" xfId="0" applyFont="1" applyFill="1" applyAlignment="1" applyProtection="1">
      <alignment horizontal="left" vertical="top" wrapText="1"/>
      <protection hidden="1"/>
    </xf>
    <xf numFmtId="0" fontId="9" fillId="5" borderId="0" xfId="0" applyFont="1" applyFill="1" applyAlignment="1" applyProtection="1">
      <alignment horizontal="left" vertical="top" wrapText="1"/>
      <protection hidden="1"/>
    </xf>
    <xf numFmtId="0" fontId="9" fillId="5" borderId="13" xfId="0" applyFont="1" applyFill="1" applyBorder="1" applyAlignment="1" applyProtection="1">
      <alignment horizontal="left" vertical="top" wrapText="1"/>
      <protection hidden="1"/>
    </xf>
    <xf numFmtId="0" fontId="9" fillId="5" borderId="14" xfId="0" applyFont="1" applyFill="1" applyBorder="1" applyAlignment="1" applyProtection="1">
      <alignment horizontal="left" vertical="top" wrapText="1"/>
      <protection hidden="1"/>
    </xf>
    <xf numFmtId="0" fontId="9" fillId="5" borderId="15" xfId="0" applyFont="1" applyFill="1" applyBorder="1" applyAlignment="1" applyProtection="1">
      <alignment horizontal="left" vertical="top" wrapText="1"/>
      <protection hidden="1"/>
    </xf>
    <xf numFmtId="0" fontId="11" fillId="9" borderId="12" xfId="0" applyFont="1" applyFill="1" applyBorder="1" applyAlignment="1" applyProtection="1">
      <alignment horizontal="left" vertical="top" wrapText="1"/>
      <protection hidden="1"/>
    </xf>
    <xf numFmtId="0" fontId="11" fillId="9" borderId="0" xfId="0" applyFont="1" applyFill="1" applyAlignment="1" applyProtection="1">
      <alignment horizontal="left" vertical="top" wrapText="1"/>
      <protection hidden="1"/>
    </xf>
    <xf numFmtId="0" fontId="11" fillId="9" borderId="13" xfId="0" applyFont="1" applyFill="1" applyBorder="1" applyAlignment="1" applyProtection="1">
      <alignment horizontal="left" vertical="top" wrapText="1"/>
      <protection hidden="1"/>
    </xf>
    <xf numFmtId="0" fontId="9" fillId="9" borderId="0" xfId="0" applyFont="1" applyFill="1" applyAlignment="1" applyProtection="1">
      <alignment horizontal="left" vertical="top" wrapText="1"/>
      <protection hidden="1"/>
    </xf>
    <xf numFmtId="0" fontId="9" fillId="9" borderId="13" xfId="0" applyFont="1" applyFill="1" applyBorder="1" applyAlignment="1" applyProtection="1">
      <alignment horizontal="left" vertical="top" wrapText="1"/>
      <protection hidden="1"/>
    </xf>
    <xf numFmtId="0" fontId="9" fillId="4" borderId="0" xfId="0" applyFont="1" applyFill="1" applyAlignment="1" applyProtection="1">
      <alignment horizontal="left" vertical="top" wrapText="1"/>
      <protection hidden="1"/>
    </xf>
    <xf numFmtId="0" fontId="28" fillId="13" borderId="0" xfId="0" applyFont="1" applyFill="1" applyAlignment="1">
      <alignment horizontal="center" vertical="center" wrapText="1"/>
    </xf>
    <xf numFmtId="0" fontId="3" fillId="14" borderId="0" xfId="0" applyFont="1" applyFill="1" applyAlignment="1">
      <alignment horizontal="center" vertical="center"/>
    </xf>
    <xf numFmtId="0" fontId="29" fillId="15" borderId="0" xfId="0" applyFont="1" applyFill="1" applyAlignment="1">
      <alignment horizontal="center" vertical="center" wrapText="1"/>
    </xf>
    <xf numFmtId="0" fontId="9" fillId="8" borderId="0" xfId="0" applyFont="1" applyFill="1" applyAlignment="1">
      <alignment horizontal="center" vertical="center" wrapText="1"/>
    </xf>
    <xf numFmtId="0" fontId="0" fillId="16" borderId="0" xfId="0" applyFill="1" applyAlignment="1">
      <alignment horizontal="center" vertical="center" wrapText="1"/>
    </xf>
    <xf numFmtId="0" fontId="0" fillId="17" borderId="0" xfId="0" applyFill="1" applyAlignment="1">
      <alignment horizontal="center" vertical="center" wrapText="1"/>
    </xf>
    <xf numFmtId="0" fontId="0" fillId="3" borderId="0" xfId="0" applyFill="1" applyAlignment="1">
      <alignment vertical="center" wrapText="1"/>
    </xf>
    <xf numFmtId="0" fontId="20" fillId="3" borderId="0" xfId="3" applyFill="1" applyAlignment="1">
      <alignment horizontal="left" vertical="center"/>
    </xf>
    <xf numFmtId="0" fontId="9" fillId="12" borderId="0" xfId="0" applyFont="1" applyFill="1" applyAlignment="1">
      <alignment horizontal="left" vertical="center" wrapText="1"/>
    </xf>
    <xf numFmtId="0" fontId="0" fillId="16" borderId="0" xfId="0" applyFill="1" applyAlignment="1">
      <alignment horizontal="left" vertical="center" wrapText="1"/>
    </xf>
    <xf numFmtId="0" fontId="9" fillId="17" borderId="0" xfId="0" applyFont="1" applyFill="1" applyAlignment="1">
      <alignment horizontal="left" vertical="center"/>
    </xf>
    <xf numFmtId="0" fontId="9" fillId="17" borderId="0" xfId="0" applyFont="1" applyFill="1" applyAlignment="1">
      <alignment horizontal="left" vertical="top" wrapText="1"/>
    </xf>
    <xf numFmtId="0" fontId="7" fillId="3" borderId="0" xfId="0" applyFont="1" applyFill="1" applyAlignment="1">
      <alignment horizontal="center" vertical="center" wrapText="1"/>
    </xf>
    <xf numFmtId="49" fontId="0" fillId="3" borderId="1" xfId="0" applyNumberFormat="1" applyFill="1" applyBorder="1" applyAlignment="1">
      <alignment horizontal="center"/>
    </xf>
    <xf numFmtId="3" fontId="32" fillId="3" borderId="2" xfId="0" applyNumberFormat="1" applyFont="1" applyFill="1" applyBorder="1" applyAlignment="1">
      <alignment horizontal="left" vertical="center" wrapText="1"/>
    </xf>
    <xf numFmtId="0" fontId="32" fillId="3" borderId="2" xfId="0" applyFont="1" applyFill="1" applyBorder="1" applyAlignment="1">
      <alignment horizontal="left" wrapText="1"/>
    </xf>
    <xf numFmtId="0" fontId="32" fillId="3" borderId="6" xfId="0" applyFont="1" applyFill="1" applyBorder="1" applyAlignment="1">
      <alignment horizontal="left" wrapText="1"/>
    </xf>
    <xf numFmtId="0" fontId="0" fillId="0" borderId="7" xfId="0" applyBorder="1" applyAlignment="1">
      <alignment horizontal="center" vertical="center" wrapText="1"/>
    </xf>
    <xf numFmtId="0" fontId="0" fillId="0" borderId="21" xfId="0" applyBorder="1" applyAlignment="1">
      <alignment horizontal="center" vertical="center" wrapText="1"/>
    </xf>
    <xf numFmtId="0" fontId="0" fillId="0" borderId="8" xfId="0" applyBorder="1" applyAlignment="1">
      <alignment horizontal="center" vertical="center" wrapText="1"/>
    </xf>
    <xf numFmtId="3" fontId="9" fillId="7" borderId="7" xfId="0" applyNumberFormat="1" applyFont="1" applyFill="1" applyBorder="1" applyAlignment="1">
      <alignment horizontal="center" vertical="center"/>
    </xf>
    <xf numFmtId="3" fontId="9" fillId="7" borderId="21" xfId="0" applyNumberFormat="1" applyFont="1" applyFill="1" applyBorder="1" applyAlignment="1">
      <alignment horizontal="center" vertical="center"/>
    </xf>
    <xf numFmtId="3" fontId="9" fillId="7" borderId="8" xfId="0" applyNumberFormat="1" applyFont="1" applyFill="1" applyBorder="1" applyAlignment="1">
      <alignment horizontal="center" vertical="center"/>
    </xf>
    <xf numFmtId="0" fontId="13" fillId="0" borderId="3" xfId="0" applyFont="1" applyBorder="1" applyAlignment="1">
      <alignment horizontal="left"/>
    </xf>
    <xf numFmtId="0" fontId="0" fillId="7" borderId="3" xfId="0" applyFill="1" applyBorder="1" applyAlignment="1">
      <alignment horizontal="left" vertical="center"/>
    </xf>
    <xf numFmtId="166" fontId="0" fillId="7" borderId="7" xfId="0" applyNumberFormat="1" applyFill="1" applyBorder="1" applyAlignment="1">
      <alignment horizontal="center" vertical="center"/>
    </xf>
    <xf numFmtId="166" fontId="0" fillId="7" borderId="21" xfId="0" applyNumberFormat="1" applyFill="1" applyBorder="1" applyAlignment="1">
      <alignment horizontal="center" vertical="center"/>
    </xf>
    <xf numFmtId="166" fontId="0" fillId="7" borderId="8" xfId="0" applyNumberFormat="1" applyFill="1" applyBorder="1" applyAlignment="1">
      <alignment horizontal="center" vertical="center"/>
    </xf>
    <xf numFmtId="0" fontId="0" fillId="7" borderId="7" xfId="0" applyFill="1" applyBorder="1" applyAlignment="1">
      <alignment horizontal="center" vertical="center"/>
    </xf>
    <xf numFmtId="0" fontId="0" fillId="7" borderId="21" xfId="0" applyFill="1" applyBorder="1" applyAlignment="1">
      <alignment horizontal="center" vertical="center"/>
    </xf>
    <xf numFmtId="0" fontId="0" fillId="7" borderId="8" xfId="0" applyFill="1" applyBorder="1" applyAlignment="1">
      <alignment horizontal="center" vertical="center"/>
    </xf>
    <xf numFmtId="0" fontId="0" fillId="0" borderId="3" xfId="0" applyBorder="1" applyAlignment="1">
      <alignment horizontal="left" vertical="center"/>
    </xf>
    <xf numFmtId="0" fontId="0" fillId="7" borderId="3" xfId="0" applyFill="1" applyBorder="1" applyAlignment="1">
      <alignment horizontal="center"/>
    </xf>
    <xf numFmtId="0" fontId="3" fillId="0" borderId="7" xfId="0" applyFont="1" applyBorder="1" applyAlignment="1">
      <alignment horizontal="left"/>
    </xf>
    <xf numFmtId="0" fontId="3" fillId="0" borderId="21" xfId="0" applyFont="1" applyBorder="1" applyAlignment="1">
      <alignment horizontal="left"/>
    </xf>
    <xf numFmtId="0" fontId="3" fillId="0" borderId="8" xfId="0" applyFont="1" applyBorder="1" applyAlignment="1">
      <alignment horizontal="left"/>
    </xf>
  </cellXfs>
  <cellStyles count="5">
    <cellStyle name="Link" xfId="3" builtinId="8"/>
    <cellStyle name="Normal 13" xfId="4" xr:uid="{55E1E740-63B6-488C-80A6-D3E265089450}"/>
    <cellStyle name="Prozent" xfId="1" builtinId="5"/>
    <cellStyle name="Standard" xfId="0" builtinId="0"/>
    <cellStyle name="Standard 2" xfId="2" xr:uid="{C67F24F1-FCF9-4656-B9BE-EB41AEB4BBD3}"/>
  </cellStyles>
  <dxfs count="11">
    <dxf>
      <font>
        <color theme="0" tint="-0.499984740745262"/>
      </font>
    </dxf>
    <dxf>
      <fill>
        <patternFill>
          <bgColor theme="0" tint="-4.9989318521683403E-2"/>
        </patternFill>
      </fill>
    </dxf>
    <dxf>
      <font>
        <color theme="0" tint="-0.499984740745262"/>
      </font>
    </dxf>
    <dxf>
      <font>
        <color theme="0" tint="-0.499984740745262"/>
      </font>
    </dxf>
    <dxf>
      <fill>
        <patternFill>
          <bgColor theme="0" tint="-4.9989318521683403E-2"/>
        </patternFill>
      </fill>
    </dxf>
    <dxf>
      <font>
        <color theme="0" tint="-0.499984740745262"/>
      </font>
    </dxf>
    <dxf>
      <fill>
        <patternFill>
          <bgColor theme="0" tint="-4.9989318521683403E-2"/>
        </patternFill>
      </fill>
    </dxf>
    <dxf>
      <font>
        <color theme="0" tint="-0.499984740745262"/>
      </font>
    </dxf>
    <dxf>
      <fill>
        <patternFill>
          <bgColor theme="0" tint="-4.9989318521683403E-2"/>
        </patternFill>
      </fill>
    </dxf>
    <dxf>
      <font>
        <color theme="0" tint="-0.499984740745262"/>
      </font>
    </dxf>
    <dxf>
      <font>
        <color theme="0" tint="-0.499984740745262"/>
      </font>
    </dxf>
  </dxfs>
  <tableStyles count="0" defaultTableStyle="TableStyleMedium2" defaultPivotStyle="PivotStyleLight16"/>
  <colors>
    <mruColors>
      <color rgb="FFFEF8F4"/>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9611231926985"/>
          <c:y val="2.9749830966869506E-2"/>
          <c:w val="0.64954690862115749"/>
          <c:h val="0.8794878376519788"/>
        </c:manualLayout>
      </c:layout>
      <c:scatterChart>
        <c:scatterStyle val="lineMarker"/>
        <c:varyColors val="0"/>
        <c:ser>
          <c:idx val="1"/>
          <c:order val="0"/>
          <c:tx>
            <c:strRef>
              <c:f>'Faktoren Abwasser'!$A$29</c:f>
              <c:strCache>
                <c:ptCount val="1"/>
                <c:pt idx="0">
                  <c:v>Beton, unbewehrt</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Abwasser'!$B$29:$B$41</c:f>
              <c:numCache>
                <c:formatCode>General</c:formatCode>
                <c:ptCount val="13"/>
                <c:pt idx="0">
                  <c:v>300</c:v>
                </c:pt>
                <c:pt idx="1">
                  <c:v>400</c:v>
                </c:pt>
                <c:pt idx="2">
                  <c:v>500</c:v>
                </c:pt>
                <c:pt idx="3">
                  <c:v>600</c:v>
                </c:pt>
                <c:pt idx="4">
                  <c:v>700</c:v>
                </c:pt>
                <c:pt idx="5">
                  <c:v>800</c:v>
                </c:pt>
                <c:pt idx="6">
                  <c:v>900</c:v>
                </c:pt>
                <c:pt idx="7">
                  <c:v>1000</c:v>
                </c:pt>
                <c:pt idx="8">
                  <c:v>1100</c:v>
                </c:pt>
                <c:pt idx="9">
                  <c:v>1200</c:v>
                </c:pt>
                <c:pt idx="10">
                  <c:v>1300</c:v>
                </c:pt>
                <c:pt idx="11">
                  <c:v>1400</c:v>
                </c:pt>
                <c:pt idx="12">
                  <c:v>1500</c:v>
                </c:pt>
              </c:numCache>
            </c:numRef>
          </c:xVal>
          <c:yVal>
            <c:numRef>
              <c:f>'Faktoren Abwasser'!$E$29:$E$41</c:f>
              <c:numCache>
                <c:formatCode>0.0</c:formatCode>
                <c:ptCount val="13"/>
                <c:pt idx="0">
                  <c:v>30.727987897125562</c:v>
                </c:pt>
                <c:pt idx="1">
                  <c:v>38.034795763993941</c:v>
                </c:pt>
                <c:pt idx="2">
                  <c:v>54.421180030257183</c:v>
                </c:pt>
                <c:pt idx="3">
                  <c:v>73.959152798789702</c:v>
                </c:pt>
                <c:pt idx="4">
                  <c:v>106.18789712556732</c:v>
                </c:pt>
                <c:pt idx="5">
                  <c:v>137.65688350983356</c:v>
                </c:pt>
                <c:pt idx="6">
                  <c:v>165.3270801815431</c:v>
                </c:pt>
                <c:pt idx="7">
                  <c:v>208.28623298033281</c:v>
                </c:pt>
                <c:pt idx="8">
                  <c:v>257.77367624810887</c:v>
                </c:pt>
                <c:pt idx="9">
                  <c:v>282.11406959152794</c:v>
                </c:pt>
                <c:pt idx="10">
                  <c:v>372.5252647503782</c:v>
                </c:pt>
                <c:pt idx="11">
                  <c:v>425.00484114977303</c:v>
                </c:pt>
                <c:pt idx="12">
                  <c:v>469.05204236006045</c:v>
                </c:pt>
              </c:numCache>
            </c:numRef>
          </c:yVal>
          <c:smooth val="0"/>
          <c:extLst>
            <c:ext xmlns:c16="http://schemas.microsoft.com/office/drawing/2014/chart" uri="{C3380CC4-5D6E-409C-BE32-E72D297353CC}">
              <c16:uniqueId val="{00000001-82C2-4104-9308-B5A9B2EA85F2}"/>
            </c:ext>
          </c:extLst>
        </c:ser>
        <c:ser>
          <c:idx val="2"/>
          <c:order val="1"/>
          <c:tx>
            <c:strRef>
              <c:f>'Faktoren Abwasser'!$A$42</c:f>
              <c:strCache>
                <c:ptCount val="1"/>
                <c:pt idx="0">
                  <c:v>Beton, bewehrt</c:v>
                </c:pt>
              </c:strCache>
            </c:strRef>
          </c:tx>
          <c:spPr>
            <a:ln w="25400" cap="rnd">
              <a:noFill/>
              <a:round/>
            </a:ln>
            <a:effectLst/>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Abwasser'!$B$42:$B$54</c:f>
              <c:numCache>
                <c:formatCode>General</c:formatCode>
                <c:ptCount val="13"/>
                <c:pt idx="0">
                  <c:v>300</c:v>
                </c:pt>
                <c:pt idx="1">
                  <c:v>400</c:v>
                </c:pt>
                <c:pt idx="2">
                  <c:v>500</c:v>
                </c:pt>
                <c:pt idx="3">
                  <c:v>600</c:v>
                </c:pt>
                <c:pt idx="4">
                  <c:v>700</c:v>
                </c:pt>
                <c:pt idx="5">
                  <c:v>800</c:v>
                </c:pt>
                <c:pt idx="6">
                  <c:v>900</c:v>
                </c:pt>
                <c:pt idx="7">
                  <c:v>1000</c:v>
                </c:pt>
                <c:pt idx="8">
                  <c:v>1100</c:v>
                </c:pt>
                <c:pt idx="9">
                  <c:v>1200</c:v>
                </c:pt>
                <c:pt idx="10">
                  <c:v>1300</c:v>
                </c:pt>
                <c:pt idx="11">
                  <c:v>1400</c:v>
                </c:pt>
                <c:pt idx="12">
                  <c:v>1500</c:v>
                </c:pt>
              </c:numCache>
            </c:numRef>
          </c:xVal>
          <c:yVal>
            <c:numRef>
              <c:f>'Faktoren Abwasser'!$E$42:$E$54</c:f>
              <c:numCache>
                <c:formatCode>0.0</c:formatCode>
                <c:ptCount val="13"/>
                <c:pt idx="0">
                  <c:v>31.118546224417788</c:v>
                </c:pt>
                <c:pt idx="1">
                  <c:v>42.650494001411438</c:v>
                </c:pt>
                <c:pt idx="2">
                  <c:v>55.217240649258997</c:v>
                </c:pt>
                <c:pt idx="3">
                  <c:v>73.629202540578689</c:v>
                </c:pt>
                <c:pt idx="4">
                  <c:v>90.913140437544115</c:v>
                </c:pt>
                <c:pt idx="5">
                  <c:v>115.94408609738885</c:v>
                </c:pt>
                <c:pt idx="6">
                  <c:v>140.58348623853215</c:v>
                </c:pt>
                <c:pt idx="7">
                  <c:v>161.3726887791108</c:v>
                </c:pt>
                <c:pt idx="8">
                  <c:v>199.25937896965422</c:v>
                </c:pt>
                <c:pt idx="9">
                  <c:v>223.00381792519408</c:v>
                </c:pt>
                <c:pt idx="10">
                  <c:v>244.79052928722652</c:v>
                </c:pt>
                <c:pt idx="11">
                  <c:v>294.42358503881445</c:v>
                </c:pt>
                <c:pt idx="12">
                  <c:v>313.45083274523643</c:v>
                </c:pt>
              </c:numCache>
            </c:numRef>
          </c:yVal>
          <c:smooth val="0"/>
          <c:extLst>
            <c:ext xmlns:c16="http://schemas.microsoft.com/office/drawing/2014/chart" uri="{C3380CC4-5D6E-409C-BE32-E72D297353CC}">
              <c16:uniqueId val="{00000003-82C2-4104-9308-B5A9B2EA85F2}"/>
            </c:ext>
          </c:extLst>
        </c:ser>
        <c:ser>
          <c:idx val="0"/>
          <c:order val="2"/>
          <c:tx>
            <c:strRef>
              <c:f>'Faktoren Abwasser'!$A$55</c:f>
              <c:strCache>
                <c:ptCount val="1"/>
                <c:pt idx="0">
                  <c:v>Steinzeug</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Abwasser'!$B$55:$B$58</c:f>
              <c:numCache>
                <c:formatCode>General</c:formatCode>
                <c:ptCount val="4"/>
                <c:pt idx="0">
                  <c:v>300</c:v>
                </c:pt>
                <c:pt idx="1">
                  <c:v>400</c:v>
                </c:pt>
                <c:pt idx="2">
                  <c:v>500</c:v>
                </c:pt>
                <c:pt idx="3">
                  <c:v>600</c:v>
                </c:pt>
              </c:numCache>
            </c:numRef>
          </c:xVal>
          <c:yVal>
            <c:numRef>
              <c:f>'Faktoren Abwasser'!$E$55:$E$58</c:f>
              <c:numCache>
                <c:formatCode>0.0</c:formatCode>
                <c:ptCount val="4"/>
                <c:pt idx="0">
                  <c:v>18.590353881278538</c:v>
                </c:pt>
                <c:pt idx="1">
                  <c:v>35.951312785388126</c:v>
                </c:pt>
                <c:pt idx="2">
                  <c:v>44.00011415525114</c:v>
                </c:pt>
                <c:pt idx="3">
                  <c:v>59.065296803652963</c:v>
                </c:pt>
              </c:numCache>
            </c:numRef>
          </c:yVal>
          <c:smooth val="0"/>
          <c:extLst>
            <c:ext xmlns:c16="http://schemas.microsoft.com/office/drawing/2014/chart" uri="{C3380CC4-5D6E-409C-BE32-E72D297353CC}">
              <c16:uniqueId val="{00000005-82C2-4104-9308-B5A9B2EA85F2}"/>
            </c:ext>
          </c:extLst>
        </c:ser>
        <c:ser>
          <c:idx val="3"/>
          <c:order val="3"/>
          <c:tx>
            <c:strRef>
              <c:f>'Faktoren Abwasser'!$A$59</c:f>
              <c:strCache>
                <c:ptCount val="1"/>
                <c:pt idx="0">
                  <c:v>Duktiles Gusseisen</c:v>
                </c:pt>
              </c:strCache>
            </c:strRef>
          </c:tx>
          <c:spPr>
            <a:ln w="25400" cap="rnd">
              <a:noFill/>
              <a:round/>
            </a:ln>
            <a:effectLst/>
          </c:spPr>
          <c:marker>
            <c:symbol val="circle"/>
            <c:size val="5"/>
            <c:spPr>
              <a:solidFill>
                <a:schemeClr val="accent4"/>
              </a:solidFill>
              <a:ln w="9525">
                <a:solidFill>
                  <a:schemeClr val="accent4"/>
                </a:solidFill>
              </a:ln>
              <a:effectLst/>
            </c:spPr>
          </c:marker>
          <c:trendline>
            <c:spPr>
              <a:ln w="19050" cap="rnd">
                <a:solidFill>
                  <a:schemeClr val="accent4"/>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Abwasser'!$B$59:$B$66</c:f>
              <c:numCache>
                <c:formatCode>General</c:formatCode>
                <c:ptCount val="8"/>
                <c:pt idx="0">
                  <c:v>300</c:v>
                </c:pt>
                <c:pt idx="1">
                  <c:v>400</c:v>
                </c:pt>
                <c:pt idx="2">
                  <c:v>500</c:v>
                </c:pt>
                <c:pt idx="3">
                  <c:v>600</c:v>
                </c:pt>
                <c:pt idx="4">
                  <c:v>700</c:v>
                </c:pt>
                <c:pt idx="5">
                  <c:v>800</c:v>
                </c:pt>
                <c:pt idx="6">
                  <c:v>900</c:v>
                </c:pt>
                <c:pt idx="7">
                  <c:v>1000</c:v>
                </c:pt>
              </c:numCache>
            </c:numRef>
          </c:xVal>
          <c:yVal>
            <c:numRef>
              <c:f>'Faktoren Abwasser'!$E$59:$E$66</c:f>
              <c:numCache>
                <c:formatCode>0.0</c:formatCode>
                <c:ptCount val="8"/>
                <c:pt idx="0">
                  <c:v>58.654434250764531</c:v>
                </c:pt>
                <c:pt idx="1">
                  <c:v>87.981651376146786</c:v>
                </c:pt>
                <c:pt idx="2">
                  <c:v>121.49847094801223</c:v>
                </c:pt>
                <c:pt idx="3">
                  <c:v>159.20489296636086</c:v>
                </c:pt>
                <c:pt idx="4">
                  <c:v>201.10091743119267</c:v>
                </c:pt>
                <c:pt idx="5">
                  <c:v>255.56574923547404</c:v>
                </c:pt>
                <c:pt idx="6">
                  <c:v>310.03058103975536</c:v>
                </c:pt>
                <c:pt idx="7">
                  <c:v>364.49541284403671</c:v>
                </c:pt>
              </c:numCache>
            </c:numRef>
          </c:yVal>
          <c:smooth val="0"/>
          <c:extLst>
            <c:ext xmlns:c16="http://schemas.microsoft.com/office/drawing/2014/chart" uri="{C3380CC4-5D6E-409C-BE32-E72D297353CC}">
              <c16:uniqueId val="{00000007-82C2-4104-9308-B5A9B2EA85F2}"/>
            </c:ext>
          </c:extLst>
        </c:ser>
        <c:ser>
          <c:idx val="4"/>
          <c:order val="4"/>
          <c:tx>
            <c:strRef>
              <c:f>'Faktoren Abwasser'!$A$67</c:f>
              <c:strCache>
                <c:ptCount val="1"/>
                <c:pt idx="0">
                  <c:v>PVC-U</c:v>
                </c:pt>
              </c:strCache>
            </c:strRef>
          </c:tx>
          <c:spPr>
            <a:ln w="25400" cap="rnd">
              <a:noFill/>
              <a:round/>
            </a:ln>
            <a:effectLst/>
          </c:spPr>
          <c:marker>
            <c:symbol val="circle"/>
            <c:size val="5"/>
            <c:spPr>
              <a:solidFill>
                <a:schemeClr val="accent5"/>
              </a:solidFill>
              <a:ln w="9525">
                <a:solidFill>
                  <a:schemeClr val="accent5"/>
                </a:solidFill>
              </a:ln>
              <a:effectLst/>
            </c:spPr>
          </c:marker>
          <c:trendline>
            <c:spPr>
              <a:ln w="19050" cap="rnd">
                <a:solidFill>
                  <a:schemeClr val="accent5"/>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Abwasser'!$B$67:$B$72</c:f>
              <c:numCache>
                <c:formatCode>General</c:formatCode>
                <c:ptCount val="6"/>
                <c:pt idx="0">
                  <c:v>300</c:v>
                </c:pt>
                <c:pt idx="1">
                  <c:v>400</c:v>
                </c:pt>
                <c:pt idx="2">
                  <c:v>500</c:v>
                </c:pt>
                <c:pt idx="3">
                  <c:v>600</c:v>
                </c:pt>
                <c:pt idx="4">
                  <c:v>700</c:v>
                </c:pt>
                <c:pt idx="5">
                  <c:v>800</c:v>
                </c:pt>
              </c:numCache>
            </c:numRef>
          </c:xVal>
          <c:yVal>
            <c:numRef>
              <c:f>'Faktoren Abwasser'!$E$67:$E$72</c:f>
              <c:numCache>
                <c:formatCode>0.0</c:formatCode>
                <c:ptCount val="6"/>
                <c:pt idx="0">
                  <c:v>58.008060542062651</c:v>
                </c:pt>
                <c:pt idx="1">
                  <c:v>87.012090813093977</c:v>
                </c:pt>
                <c:pt idx="2">
                  <c:v>135.34913410770855</c:v>
                </c:pt>
                <c:pt idx="3">
                  <c:v>217.5257162970785</c:v>
                </c:pt>
                <c:pt idx="4">
                  <c:v>290.03128123900035</c:v>
                </c:pt>
                <c:pt idx="5">
                  <c:v>357.70133755719814</c:v>
                </c:pt>
              </c:numCache>
            </c:numRef>
          </c:yVal>
          <c:smooth val="0"/>
          <c:extLst>
            <c:ext xmlns:c16="http://schemas.microsoft.com/office/drawing/2014/chart" uri="{C3380CC4-5D6E-409C-BE32-E72D297353CC}">
              <c16:uniqueId val="{00000009-82C2-4104-9308-B5A9B2EA85F2}"/>
            </c:ext>
          </c:extLst>
        </c:ser>
        <c:ser>
          <c:idx val="5"/>
          <c:order val="5"/>
          <c:tx>
            <c:strRef>
              <c:f>'Faktoren Abwasser'!$A$73</c:f>
              <c:strCache>
                <c:ptCount val="1"/>
                <c:pt idx="0">
                  <c:v>PP</c:v>
                </c:pt>
              </c:strCache>
            </c:strRef>
          </c:tx>
          <c:spPr>
            <a:ln w="25400" cap="rnd">
              <a:noFill/>
              <a:round/>
            </a:ln>
            <a:effectLst/>
          </c:spPr>
          <c:marker>
            <c:symbol val="circle"/>
            <c:size val="5"/>
            <c:spPr>
              <a:solidFill>
                <a:schemeClr val="accent6"/>
              </a:solidFill>
              <a:ln w="9525">
                <a:solidFill>
                  <a:schemeClr val="accent6"/>
                </a:solidFill>
              </a:ln>
              <a:effectLst/>
            </c:spPr>
          </c:marker>
          <c:trendline>
            <c:spPr>
              <a:ln w="19050" cap="rnd">
                <a:solidFill>
                  <a:schemeClr val="accent6"/>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Abwasser'!$B$73:$B$78</c:f>
              <c:numCache>
                <c:formatCode>General</c:formatCode>
                <c:ptCount val="6"/>
                <c:pt idx="0">
                  <c:v>300</c:v>
                </c:pt>
                <c:pt idx="1">
                  <c:v>400</c:v>
                </c:pt>
                <c:pt idx="2">
                  <c:v>500</c:v>
                </c:pt>
                <c:pt idx="3">
                  <c:v>600</c:v>
                </c:pt>
                <c:pt idx="4">
                  <c:v>700</c:v>
                </c:pt>
                <c:pt idx="5">
                  <c:v>800</c:v>
                </c:pt>
              </c:numCache>
            </c:numRef>
          </c:xVal>
          <c:yVal>
            <c:numRef>
              <c:f>'Faktoren Abwasser'!$E$73:$E$78</c:f>
              <c:numCache>
                <c:formatCode>0.0</c:formatCode>
                <c:ptCount val="6"/>
                <c:pt idx="0">
                  <c:v>19.601622137404579</c:v>
                </c:pt>
                <c:pt idx="1">
                  <c:v>35.273473282442751</c:v>
                </c:pt>
                <c:pt idx="2">
                  <c:v>54.006011450381678</c:v>
                </c:pt>
                <c:pt idx="3">
                  <c:v>74.032729007633591</c:v>
                </c:pt>
                <c:pt idx="4">
                  <c:v>118.80000000000001</c:v>
                </c:pt>
                <c:pt idx="5">
                  <c:v>148.07490458015266</c:v>
                </c:pt>
              </c:numCache>
            </c:numRef>
          </c:yVal>
          <c:smooth val="0"/>
          <c:extLst>
            <c:ext xmlns:c16="http://schemas.microsoft.com/office/drawing/2014/chart" uri="{C3380CC4-5D6E-409C-BE32-E72D297353CC}">
              <c16:uniqueId val="{0000000B-82C2-4104-9308-B5A9B2EA85F2}"/>
            </c:ext>
          </c:extLst>
        </c:ser>
        <c:ser>
          <c:idx val="6"/>
          <c:order val="6"/>
          <c:tx>
            <c:strRef>
              <c:f>'Faktoren Abwasser'!$A$79</c:f>
              <c:strCache>
                <c:ptCount val="1"/>
                <c:pt idx="0">
                  <c:v>GFK</c:v>
                </c:pt>
              </c:strCache>
            </c:strRef>
          </c:tx>
          <c:spPr>
            <a:ln w="25400" cap="rnd">
              <a:noFill/>
              <a:round/>
            </a:ln>
            <a:effectLst/>
          </c:spPr>
          <c:marker>
            <c:symbol val="circle"/>
            <c:size val="5"/>
            <c:spPr>
              <a:solidFill>
                <a:schemeClr val="accent1">
                  <a:lumMod val="60000"/>
                </a:schemeClr>
              </a:solidFill>
              <a:ln w="9525">
                <a:solidFill>
                  <a:schemeClr val="accent1">
                    <a:lumMod val="60000"/>
                  </a:schemeClr>
                </a:solidFill>
              </a:ln>
              <a:effectLst/>
            </c:spPr>
          </c:marker>
          <c:trendline>
            <c:spPr>
              <a:ln w="19050" cap="rnd">
                <a:solidFill>
                  <a:schemeClr val="accent1">
                    <a:lumMod val="60000"/>
                  </a:schemeClr>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Abwasser'!$B$79:$B$91</c:f>
              <c:numCache>
                <c:formatCode>General</c:formatCode>
                <c:ptCount val="13"/>
                <c:pt idx="0">
                  <c:v>300</c:v>
                </c:pt>
                <c:pt idx="1">
                  <c:v>400</c:v>
                </c:pt>
                <c:pt idx="2">
                  <c:v>500</c:v>
                </c:pt>
                <c:pt idx="3">
                  <c:v>600</c:v>
                </c:pt>
                <c:pt idx="4">
                  <c:v>700</c:v>
                </c:pt>
                <c:pt idx="5">
                  <c:v>800</c:v>
                </c:pt>
                <c:pt idx="6">
                  <c:v>900</c:v>
                </c:pt>
                <c:pt idx="7">
                  <c:v>1000</c:v>
                </c:pt>
                <c:pt idx="8">
                  <c:v>1100</c:v>
                </c:pt>
                <c:pt idx="9">
                  <c:v>1200</c:v>
                </c:pt>
                <c:pt idx="10">
                  <c:v>1300</c:v>
                </c:pt>
                <c:pt idx="11">
                  <c:v>1400</c:v>
                </c:pt>
                <c:pt idx="12">
                  <c:v>1500</c:v>
                </c:pt>
              </c:numCache>
            </c:numRef>
          </c:xVal>
          <c:yVal>
            <c:numRef>
              <c:f>'Faktoren Abwasser'!$E$79:$E$91</c:f>
              <c:numCache>
                <c:formatCode>0.0</c:formatCode>
                <c:ptCount val="13"/>
                <c:pt idx="0">
                  <c:v>23.831291666666669</c:v>
                </c:pt>
                <c:pt idx="1">
                  <c:v>41.964791666666677</c:v>
                </c:pt>
                <c:pt idx="2">
                  <c:v>63.722375</c:v>
                </c:pt>
                <c:pt idx="3">
                  <c:v>82.372666666666674</c:v>
                </c:pt>
                <c:pt idx="4">
                  <c:v>111.90175000000001</c:v>
                </c:pt>
                <c:pt idx="5">
                  <c:v>146.09504166666667</c:v>
                </c:pt>
                <c:pt idx="6">
                  <c:v>183.39562500000002</c:v>
                </c:pt>
                <c:pt idx="7">
                  <c:v>225.36041666666671</c:v>
                </c:pt>
                <c:pt idx="8">
                  <c:v>270.4325</c:v>
                </c:pt>
                <c:pt idx="9">
                  <c:v>320.16879166666666</c:v>
                </c:pt>
                <c:pt idx="10">
                  <c:v>373.66</c:v>
                </c:pt>
                <c:pt idx="11">
                  <c:v>433.62745833333332</c:v>
                </c:pt>
                <c:pt idx="12">
                  <c:v>494.24254166666668</c:v>
                </c:pt>
              </c:numCache>
            </c:numRef>
          </c:yVal>
          <c:smooth val="0"/>
          <c:extLst>
            <c:ext xmlns:c16="http://schemas.microsoft.com/office/drawing/2014/chart" uri="{C3380CC4-5D6E-409C-BE32-E72D297353CC}">
              <c16:uniqueId val="{0000000D-82C2-4104-9308-B5A9B2EA85F2}"/>
            </c:ext>
          </c:extLst>
        </c:ser>
        <c:dLbls>
          <c:showLegendKey val="0"/>
          <c:showVal val="0"/>
          <c:showCatName val="0"/>
          <c:showSerName val="0"/>
          <c:showPercent val="0"/>
          <c:showBubbleSize val="0"/>
        </c:dLbls>
        <c:axId val="2064823664"/>
        <c:axId val="2064810768"/>
      </c:scatterChart>
      <c:valAx>
        <c:axId val="20648236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Durchmesser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64810768"/>
        <c:crosses val="autoZero"/>
        <c:crossBetween val="midCat"/>
      </c:valAx>
      <c:valAx>
        <c:axId val="20648107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kg CO2e / 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64823664"/>
        <c:crosses val="autoZero"/>
        <c:crossBetween val="midCat"/>
      </c:valAx>
      <c:spPr>
        <a:noFill/>
        <a:ln>
          <a:noFill/>
        </a:ln>
        <a:effectLst/>
      </c:spPr>
    </c:plotArea>
    <c:legend>
      <c:legendPos val="r"/>
      <c:layout>
        <c:manualLayout>
          <c:xMode val="edge"/>
          <c:yMode val="edge"/>
          <c:x val="0.76206486703154575"/>
          <c:y val="3.2959277656215896E-2"/>
          <c:w val="0.2233766476928718"/>
          <c:h val="0.936785761820340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22349586678489E-2"/>
          <c:y val="2.9749830966869506E-2"/>
          <c:w val="0.68352394058838828"/>
          <c:h val="0.9075097560066655"/>
        </c:manualLayout>
      </c:layout>
      <c:scatterChart>
        <c:scatterStyle val="lineMarker"/>
        <c:varyColors val="0"/>
        <c:ser>
          <c:idx val="0"/>
          <c:order val="0"/>
          <c:tx>
            <c:strRef>
              <c:f>'Faktoren Abwasser'!$A$55</c:f>
              <c:strCache>
                <c:ptCount val="1"/>
                <c:pt idx="0">
                  <c:v>Steinzeug</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Abwasser'!$B$55:$B$58</c:f>
              <c:numCache>
                <c:formatCode>General</c:formatCode>
                <c:ptCount val="4"/>
                <c:pt idx="0">
                  <c:v>300</c:v>
                </c:pt>
                <c:pt idx="1">
                  <c:v>400</c:v>
                </c:pt>
                <c:pt idx="2">
                  <c:v>500</c:v>
                </c:pt>
                <c:pt idx="3">
                  <c:v>600</c:v>
                </c:pt>
              </c:numCache>
            </c:numRef>
          </c:xVal>
          <c:yVal>
            <c:numRef>
              <c:f>'Faktoren Abwasser'!$E$55:$E$58</c:f>
              <c:numCache>
                <c:formatCode>0.0</c:formatCode>
                <c:ptCount val="4"/>
                <c:pt idx="0">
                  <c:v>18.590353881278538</c:v>
                </c:pt>
                <c:pt idx="1">
                  <c:v>35.951312785388126</c:v>
                </c:pt>
                <c:pt idx="2">
                  <c:v>44.00011415525114</c:v>
                </c:pt>
                <c:pt idx="3">
                  <c:v>59.065296803652963</c:v>
                </c:pt>
              </c:numCache>
            </c:numRef>
          </c:yVal>
          <c:smooth val="0"/>
          <c:extLst>
            <c:ext xmlns:c16="http://schemas.microsoft.com/office/drawing/2014/chart" uri="{C3380CC4-5D6E-409C-BE32-E72D297353CC}">
              <c16:uniqueId val="{00000001-C7A8-4A2D-993D-7DD4A67F0D34}"/>
            </c:ext>
          </c:extLst>
        </c:ser>
        <c:ser>
          <c:idx val="1"/>
          <c:order val="1"/>
          <c:tx>
            <c:strRef>
              <c:f>'Faktoren Abwasser'!$A$29</c:f>
              <c:strCache>
                <c:ptCount val="1"/>
                <c:pt idx="0">
                  <c:v>Beton, unbewehrt</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Abwasser'!$B$29:$B$41</c:f>
              <c:numCache>
                <c:formatCode>General</c:formatCode>
                <c:ptCount val="13"/>
                <c:pt idx="0">
                  <c:v>300</c:v>
                </c:pt>
                <c:pt idx="1">
                  <c:v>400</c:v>
                </c:pt>
                <c:pt idx="2">
                  <c:v>500</c:v>
                </c:pt>
                <c:pt idx="3">
                  <c:v>600</c:v>
                </c:pt>
                <c:pt idx="4">
                  <c:v>700</c:v>
                </c:pt>
                <c:pt idx="5">
                  <c:v>800</c:v>
                </c:pt>
                <c:pt idx="6">
                  <c:v>900</c:v>
                </c:pt>
                <c:pt idx="7">
                  <c:v>1000</c:v>
                </c:pt>
                <c:pt idx="8">
                  <c:v>1100</c:v>
                </c:pt>
                <c:pt idx="9">
                  <c:v>1200</c:v>
                </c:pt>
                <c:pt idx="10">
                  <c:v>1300</c:v>
                </c:pt>
                <c:pt idx="11">
                  <c:v>1400</c:v>
                </c:pt>
                <c:pt idx="12">
                  <c:v>1500</c:v>
                </c:pt>
              </c:numCache>
            </c:numRef>
          </c:xVal>
          <c:yVal>
            <c:numRef>
              <c:f>'Faktoren Abwasser'!$E$29:$E$41</c:f>
              <c:numCache>
                <c:formatCode>0.0</c:formatCode>
                <c:ptCount val="13"/>
                <c:pt idx="0">
                  <c:v>30.727987897125562</c:v>
                </c:pt>
                <c:pt idx="1">
                  <c:v>38.034795763993941</c:v>
                </c:pt>
                <c:pt idx="2">
                  <c:v>54.421180030257183</c:v>
                </c:pt>
                <c:pt idx="3">
                  <c:v>73.959152798789702</c:v>
                </c:pt>
                <c:pt idx="4">
                  <c:v>106.18789712556732</c:v>
                </c:pt>
                <c:pt idx="5">
                  <c:v>137.65688350983356</c:v>
                </c:pt>
                <c:pt idx="6">
                  <c:v>165.3270801815431</c:v>
                </c:pt>
                <c:pt idx="7">
                  <c:v>208.28623298033281</c:v>
                </c:pt>
                <c:pt idx="8">
                  <c:v>257.77367624810887</c:v>
                </c:pt>
                <c:pt idx="9">
                  <c:v>282.11406959152794</c:v>
                </c:pt>
                <c:pt idx="10">
                  <c:v>372.5252647503782</c:v>
                </c:pt>
                <c:pt idx="11">
                  <c:v>425.00484114977303</c:v>
                </c:pt>
                <c:pt idx="12">
                  <c:v>469.05204236006045</c:v>
                </c:pt>
              </c:numCache>
            </c:numRef>
          </c:yVal>
          <c:smooth val="0"/>
          <c:extLst>
            <c:ext xmlns:c16="http://schemas.microsoft.com/office/drawing/2014/chart" uri="{C3380CC4-5D6E-409C-BE32-E72D297353CC}">
              <c16:uniqueId val="{00000003-C7A8-4A2D-993D-7DD4A67F0D34}"/>
            </c:ext>
          </c:extLst>
        </c:ser>
        <c:ser>
          <c:idx val="2"/>
          <c:order val="2"/>
          <c:tx>
            <c:strRef>
              <c:f>'Faktoren Abwasser'!$A$42</c:f>
              <c:strCache>
                <c:ptCount val="1"/>
                <c:pt idx="0">
                  <c:v>Beton, bewehrt</c:v>
                </c:pt>
              </c:strCache>
            </c:strRef>
          </c:tx>
          <c:spPr>
            <a:ln w="25400" cap="rnd">
              <a:noFill/>
              <a:round/>
            </a:ln>
            <a:effectLst/>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Abwasser'!$B$42:$B$54</c:f>
              <c:numCache>
                <c:formatCode>General</c:formatCode>
                <c:ptCount val="13"/>
                <c:pt idx="0">
                  <c:v>300</c:v>
                </c:pt>
                <c:pt idx="1">
                  <c:v>400</c:v>
                </c:pt>
                <c:pt idx="2">
                  <c:v>500</c:v>
                </c:pt>
                <c:pt idx="3">
                  <c:v>600</c:v>
                </c:pt>
                <c:pt idx="4">
                  <c:v>700</c:v>
                </c:pt>
                <c:pt idx="5">
                  <c:v>800</c:v>
                </c:pt>
                <c:pt idx="6">
                  <c:v>900</c:v>
                </c:pt>
                <c:pt idx="7">
                  <c:v>1000</c:v>
                </c:pt>
                <c:pt idx="8">
                  <c:v>1100</c:v>
                </c:pt>
                <c:pt idx="9">
                  <c:v>1200</c:v>
                </c:pt>
                <c:pt idx="10">
                  <c:v>1300</c:v>
                </c:pt>
                <c:pt idx="11">
                  <c:v>1400</c:v>
                </c:pt>
                <c:pt idx="12">
                  <c:v>1500</c:v>
                </c:pt>
              </c:numCache>
            </c:numRef>
          </c:xVal>
          <c:yVal>
            <c:numRef>
              <c:f>'Faktoren Abwasser'!$E$42:$E$54</c:f>
              <c:numCache>
                <c:formatCode>0.0</c:formatCode>
                <c:ptCount val="13"/>
                <c:pt idx="0">
                  <c:v>31.118546224417788</c:v>
                </c:pt>
                <c:pt idx="1">
                  <c:v>42.650494001411438</c:v>
                </c:pt>
                <c:pt idx="2">
                  <c:v>55.217240649258997</c:v>
                </c:pt>
                <c:pt idx="3">
                  <c:v>73.629202540578689</c:v>
                </c:pt>
                <c:pt idx="4">
                  <c:v>90.913140437544115</c:v>
                </c:pt>
                <c:pt idx="5">
                  <c:v>115.94408609738885</c:v>
                </c:pt>
                <c:pt idx="6">
                  <c:v>140.58348623853215</c:v>
                </c:pt>
                <c:pt idx="7">
                  <c:v>161.3726887791108</c:v>
                </c:pt>
                <c:pt idx="8">
                  <c:v>199.25937896965422</c:v>
                </c:pt>
                <c:pt idx="9">
                  <c:v>223.00381792519408</c:v>
                </c:pt>
                <c:pt idx="10">
                  <c:v>244.79052928722652</c:v>
                </c:pt>
                <c:pt idx="11">
                  <c:v>294.42358503881445</c:v>
                </c:pt>
                <c:pt idx="12">
                  <c:v>313.45083274523643</c:v>
                </c:pt>
              </c:numCache>
            </c:numRef>
          </c:yVal>
          <c:smooth val="0"/>
          <c:extLst>
            <c:ext xmlns:c16="http://schemas.microsoft.com/office/drawing/2014/chart" uri="{C3380CC4-5D6E-409C-BE32-E72D297353CC}">
              <c16:uniqueId val="{00000005-C7A8-4A2D-993D-7DD4A67F0D34}"/>
            </c:ext>
          </c:extLst>
        </c:ser>
        <c:ser>
          <c:idx val="3"/>
          <c:order val="3"/>
          <c:tx>
            <c:strRef>
              <c:f>'Faktoren Abwasser'!$A$59</c:f>
              <c:strCache>
                <c:ptCount val="1"/>
                <c:pt idx="0">
                  <c:v>Duktiles Gusseisen</c:v>
                </c:pt>
              </c:strCache>
            </c:strRef>
          </c:tx>
          <c:spPr>
            <a:ln w="25400" cap="rnd">
              <a:noFill/>
              <a:round/>
            </a:ln>
            <a:effectLst/>
          </c:spPr>
          <c:marker>
            <c:symbol val="circle"/>
            <c:size val="5"/>
            <c:spPr>
              <a:solidFill>
                <a:schemeClr val="accent4"/>
              </a:solidFill>
              <a:ln w="9525">
                <a:solidFill>
                  <a:schemeClr val="accent4"/>
                </a:solidFill>
              </a:ln>
              <a:effectLst/>
            </c:spPr>
          </c:marker>
          <c:trendline>
            <c:spPr>
              <a:ln w="19050" cap="rnd">
                <a:solidFill>
                  <a:schemeClr val="accent4"/>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Abwasser'!$B$59:$B$66</c:f>
              <c:numCache>
                <c:formatCode>General</c:formatCode>
                <c:ptCount val="8"/>
                <c:pt idx="0">
                  <c:v>300</c:v>
                </c:pt>
                <c:pt idx="1">
                  <c:v>400</c:v>
                </c:pt>
                <c:pt idx="2">
                  <c:v>500</c:v>
                </c:pt>
                <c:pt idx="3">
                  <c:v>600</c:v>
                </c:pt>
                <c:pt idx="4">
                  <c:v>700</c:v>
                </c:pt>
                <c:pt idx="5">
                  <c:v>800</c:v>
                </c:pt>
                <c:pt idx="6">
                  <c:v>900</c:v>
                </c:pt>
                <c:pt idx="7">
                  <c:v>1000</c:v>
                </c:pt>
              </c:numCache>
            </c:numRef>
          </c:xVal>
          <c:yVal>
            <c:numRef>
              <c:f>'Faktoren Abwasser'!$E$59:$E$66</c:f>
              <c:numCache>
                <c:formatCode>0.0</c:formatCode>
                <c:ptCount val="8"/>
                <c:pt idx="0">
                  <c:v>58.654434250764531</c:v>
                </c:pt>
                <c:pt idx="1">
                  <c:v>87.981651376146786</c:v>
                </c:pt>
                <c:pt idx="2">
                  <c:v>121.49847094801223</c:v>
                </c:pt>
                <c:pt idx="3">
                  <c:v>159.20489296636086</c:v>
                </c:pt>
                <c:pt idx="4">
                  <c:v>201.10091743119267</c:v>
                </c:pt>
                <c:pt idx="5">
                  <c:v>255.56574923547404</c:v>
                </c:pt>
                <c:pt idx="6">
                  <c:v>310.03058103975536</c:v>
                </c:pt>
                <c:pt idx="7">
                  <c:v>364.49541284403671</c:v>
                </c:pt>
              </c:numCache>
            </c:numRef>
          </c:yVal>
          <c:smooth val="0"/>
          <c:extLst>
            <c:ext xmlns:c16="http://schemas.microsoft.com/office/drawing/2014/chart" uri="{C3380CC4-5D6E-409C-BE32-E72D297353CC}">
              <c16:uniqueId val="{00000007-C7A8-4A2D-993D-7DD4A67F0D34}"/>
            </c:ext>
          </c:extLst>
        </c:ser>
        <c:ser>
          <c:idx val="4"/>
          <c:order val="4"/>
          <c:tx>
            <c:strRef>
              <c:f>'Faktoren Abwasser'!$A$67</c:f>
              <c:strCache>
                <c:ptCount val="1"/>
                <c:pt idx="0">
                  <c:v>PVC-U</c:v>
                </c:pt>
              </c:strCache>
            </c:strRef>
          </c:tx>
          <c:spPr>
            <a:ln w="25400" cap="rnd">
              <a:noFill/>
              <a:round/>
            </a:ln>
            <a:effectLst/>
          </c:spPr>
          <c:marker>
            <c:symbol val="circle"/>
            <c:size val="5"/>
            <c:spPr>
              <a:solidFill>
                <a:schemeClr val="accent5"/>
              </a:solidFill>
              <a:ln w="9525">
                <a:solidFill>
                  <a:schemeClr val="accent5"/>
                </a:solidFill>
              </a:ln>
              <a:effectLst/>
            </c:spPr>
          </c:marker>
          <c:trendline>
            <c:spPr>
              <a:ln w="19050" cap="rnd">
                <a:solidFill>
                  <a:schemeClr val="accent5"/>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Abwasser'!$B$67:$B$72</c:f>
              <c:numCache>
                <c:formatCode>General</c:formatCode>
                <c:ptCount val="6"/>
                <c:pt idx="0">
                  <c:v>300</c:v>
                </c:pt>
                <c:pt idx="1">
                  <c:v>400</c:v>
                </c:pt>
                <c:pt idx="2">
                  <c:v>500</c:v>
                </c:pt>
                <c:pt idx="3">
                  <c:v>600</c:v>
                </c:pt>
                <c:pt idx="4">
                  <c:v>700</c:v>
                </c:pt>
                <c:pt idx="5">
                  <c:v>800</c:v>
                </c:pt>
              </c:numCache>
            </c:numRef>
          </c:xVal>
          <c:yVal>
            <c:numRef>
              <c:f>'Faktoren Abwasser'!$E$67:$E$72</c:f>
              <c:numCache>
                <c:formatCode>0.0</c:formatCode>
                <c:ptCount val="6"/>
                <c:pt idx="0">
                  <c:v>58.008060542062651</c:v>
                </c:pt>
                <c:pt idx="1">
                  <c:v>87.012090813093977</c:v>
                </c:pt>
                <c:pt idx="2">
                  <c:v>135.34913410770855</c:v>
                </c:pt>
                <c:pt idx="3">
                  <c:v>217.5257162970785</c:v>
                </c:pt>
                <c:pt idx="4">
                  <c:v>290.03128123900035</c:v>
                </c:pt>
                <c:pt idx="5">
                  <c:v>357.70133755719814</c:v>
                </c:pt>
              </c:numCache>
            </c:numRef>
          </c:yVal>
          <c:smooth val="0"/>
          <c:extLst>
            <c:ext xmlns:c16="http://schemas.microsoft.com/office/drawing/2014/chart" uri="{C3380CC4-5D6E-409C-BE32-E72D297353CC}">
              <c16:uniqueId val="{00000009-C7A8-4A2D-993D-7DD4A67F0D34}"/>
            </c:ext>
          </c:extLst>
        </c:ser>
        <c:ser>
          <c:idx val="5"/>
          <c:order val="5"/>
          <c:tx>
            <c:strRef>
              <c:f>'Faktoren Abwasser'!$A$73</c:f>
              <c:strCache>
                <c:ptCount val="1"/>
                <c:pt idx="0">
                  <c:v>PP</c:v>
                </c:pt>
              </c:strCache>
            </c:strRef>
          </c:tx>
          <c:spPr>
            <a:ln w="25400" cap="rnd">
              <a:noFill/>
              <a:round/>
            </a:ln>
            <a:effectLst/>
          </c:spPr>
          <c:marker>
            <c:symbol val="circle"/>
            <c:size val="5"/>
            <c:spPr>
              <a:solidFill>
                <a:schemeClr val="accent6"/>
              </a:solidFill>
              <a:ln w="9525">
                <a:solidFill>
                  <a:schemeClr val="accent6"/>
                </a:solidFill>
              </a:ln>
              <a:effectLst/>
            </c:spPr>
          </c:marker>
          <c:trendline>
            <c:spPr>
              <a:ln w="19050" cap="rnd">
                <a:solidFill>
                  <a:schemeClr val="accent6"/>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Abwasser'!$B$73:$B$78</c:f>
              <c:numCache>
                <c:formatCode>General</c:formatCode>
                <c:ptCount val="6"/>
                <c:pt idx="0">
                  <c:v>300</c:v>
                </c:pt>
                <c:pt idx="1">
                  <c:v>400</c:v>
                </c:pt>
                <c:pt idx="2">
                  <c:v>500</c:v>
                </c:pt>
                <c:pt idx="3">
                  <c:v>600</c:v>
                </c:pt>
                <c:pt idx="4">
                  <c:v>700</c:v>
                </c:pt>
                <c:pt idx="5">
                  <c:v>800</c:v>
                </c:pt>
              </c:numCache>
            </c:numRef>
          </c:xVal>
          <c:yVal>
            <c:numRef>
              <c:f>'Faktoren Abwasser'!$E$73:$E$78</c:f>
              <c:numCache>
                <c:formatCode>0.0</c:formatCode>
                <c:ptCount val="6"/>
                <c:pt idx="0">
                  <c:v>19.601622137404579</c:v>
                </c:pt>
                <c:pt idx="1">
                  <c:v>35.273473282442751</c:v>
                </c:pt>
                <c:pt idx="2">
                  <c:v>54.006011450381678</c:v>
                </c:pt>
                <c:pt idx="3">
                  <c:v>74.032729007633591</c:v>
                </c:pt>
                <c:pt idx="4">
                  <c:v>118.80000000000001</c:v>
                </c:pt>
                <c:pt idx="5">
                  <c:v>148.07490458015266</c:v>
                </c:pt>
              </c:numCache>
            </c:numRef>
          </c:yVal>
          <c:smooth val="0"/>
          <c:extLst>
            <c:ext xmlns:c16="http://schemas.microsoft.com/office/drawing/2014/chart" uri="{C3380CC4-5D6E-409C-BE32-E72D297353CC}">
              <c16:uniqueId val="{0000000B-C7A8-4A2D-993D-7DD4A67F0D34}"/>
            </c:ext>
          </c:extLst>
        </c:ser>
        <c:ser>
          <c:idx val="6"/>
          <c:order val="6"/>
          <c:tx>
            <c:strRef>
              <c:f>'Faktoren Abwasser'!$A$79</c:f>
              <c:strCache>
                <c:ptCount val="1"/>
                <c:pt idx="0">
                  <c:v>GFK</c:v>
                </c:pt>
              </c:strCache>
            </c:strRef>
          </c:tx>
          <c:spPr>
            <a:ln w="25400" cap="rnd">
              <a:noFill/>
              <a:round/>
            </a:ln>
            <a:effectLst/>
          </c:spPr>
          <c:marker>
            <c:symbol val="circle"/>
            <c:size val="5"/>
            <c:spPr>
              <a:solidFill>
                <a:schemeClr val="accent1">
                  <a:lumMod val="60000"/>
                </a:schemeClr>
              </a:solidFill>
              <a:ln w="9525">
                <a:solidFill>
                  <a:schemeClr val="accent1">
                    <a:lumMod val="60000"/>
                  </a:schemeClr>
                </a:solidFill>
              </a:ln>
              <a:effectLst/>
            </c:spPr>
          </c:marker>
          <c:trendline>
            <c:spPr>
              <a:ln w="19050" cap="rnd">
                <a:solidFill>
                  <a:schemeClr val="accent1">
                    <a:lumMod val="60000"/>
                  </a:schemeClr>
                </a:solidFill>
                <a:prstDash val="sysDot"/>
              </a:ln>
              <a:effectLst/>
            </c:spPr>
            <c:trendlineType val="poly"/>
            <c:order val="2"/>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'Faktoren Abwasser'!$B$79:$B$91</c:f>
              <c:numCache>
                <c:formatCode>General</c:formatCode>
                <c:ptCount val="13"/>
                <c:pt idx="0">
                  <c:v>300</c:v>
                </c:pt>
                <c:pt idx="1">
                  <c:v>400</c:v>
                </c:pt>
                <c:pt idx="2">
                  <c:v>500</c:v>
                </c:pt>
                <c:pt idx="3">
                  <c:v>600</c:v>
                </c:pt>
                <c:pt idx="4">
                  <c:v>700</c:v>
                </c:pt>
                <c:pt idx="5">
                  <c:v>800</c:v>
                </c:pt>
                <c:pt idx="6">
                  <c:v>900</c:v>
                </c:pt>
                <c:pt idx="7">
                  <c:v>1000</c:v>
                </c:pt>
                <c:pt idx="8">
                  <c:v>1100</c:v>
                </c:pt>
                <c:pt idx="9">
                  <c:v>1200</c:v>
                </c:pt>
                <c:pt idx="10">
                  <c:v>1300</c:v>
                </c:pt>
                <c:pt idx="11">
                  <c:v>1400</c:v>
                </c:pt>
                <c:pt idx="12">
                  <c:v>1500</c:v>
                </c:pt>
              </c:numCache>
            </c:numRef>
          </c:xVal>
          <c:yVal>
            <c:numRef>
              <c:f>'Faktoren Abwasser'!$E$79:$E$91</c:f>
              <c:numCache>
                <c:formatCode>0.0</c:formatCode>
                <c:ptCount val="13"/>
                <c:pt idx="0">
                  <c:v>23.831291666666669</c:v>
                </c:pt>
                <c:pt idx="1">
                  <c:v>41.964791666666677</c:v>
                </c:pt>
                <c:pt idx="2">
                  <c:v>63.722375</c:v>
                </c:pt>
                <c:pt idx="3">
                  <c:v>82.372666666666674</c:v>
                </c:pt>
                <c:pt idx="4">
                  <c:v>111.90175000000001</c:v>
                </c:pt>
                <c:pt idx="5">
                  <c:v>146.09504166666667</c:v>
                </c:pt>
                <c:pt idx="6">
                  <c:v>183.39562500000002</c:v>
                </c:pt>
                <c:pt idx="7">
                  <c:v>225.36041666666671</c:v>
                </c:pt>
                <c:pt idx="8">
                  <c:v>270.4325</c:v>
                </c:pt>
                <c:pt idx="9">
                  <c:v>320.16879166666666</c:v>
                </c:pt>
                <c:pt idx="10">
                  <c:v>373.66</c:v>
                </c:pt>
                <c:pt idx="11">
                  <c:v>433.62745833333332</c:v>
                </c:pt>
                <c:pt idx="12">
                  <c:v>494.24254166666668</c:v>
                </c:pt>
              </c:numCache>
            </c:numRef>
          </c:yVal>
          <c:smooth val="0"/>
          <c:extLst>
            <c:ext xmlns:c16="http://schemas.microsoft.com/office/drawing/2014/chart" uri="{C3380CC4-5D6E-409C-BE32-E72D297353CC}">
              <c16:uniqueId val="{0000000D-C7A8-4A2D-993D-7DD4A67F0D34}"/>
            </c:ext>
          </c:extLst>
        </c:ser>
        <c:dLbls>
          <c:showLegendKey val="0"/>
          <c:showVal val="0"/>
          <c:showCatName val="0"/>
          <c:showSerName val="0"/>
          <c:showPercent val="0"/>
          <c:showBubbleSize val="0"/>
        </c:dLbls>
        <c:axId val="2064823664"/>
        <c:axId val="2064810768"/>
      </c:scatterChart>
      <c:valAx>
        <c:axId val="20648236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64810768"/>
        <c:crosses val="autoZero"/>
        <c:crossBetween val="midCat"/>
      </c:valAx>
      <c:valAx>
        <c:axId val="2064810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64823664"/>
        <c:crosses val="autoZero"/>
        <c:crossBetween val="midCat"/>
      </c:valAx>
      <c:spPr>
        <a:noFill/>
        <a:ln>
          <a:noFill/>
        </a:ln>
        <a:effectLst/>
      </c:spPr>
    </c:plotArea>
    <c:legend>
      <c:legendPos val="r"/>
      <c:layout>
        <c:manualLayout>
          <c:xMode val="edge"/>
          <c:yMode val="edge"/>
          <c:x val="0.76206486703154575"/>
          <c:y val="3.2959277656215896E-2"/>
          <c:w val="0.2233766476928718"/>
          <c:h val="0.936785761820340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THG-Emissionen [kg</a:t>
            </a:r>
            <a:r>
              <a:rPr lang="de-DE" baseline="0"/>
              <a:t> CO2e]</a:t>
            </a:r>
            <a:endParaRPr lang="de-DE"/>
          </a:p>
        </c:rich>
      </c:tx>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stacked"/>
        <c:varyColors val="0"/>
        <c:ser>
          <c:idx val="0"/>
          <c:order val="0"/>
          <c:tx>
            <c:strRef>
              <c:f>Auswertung!$B$3</c:f>
              <c:strCache>
                <c:ptCount val="1"/>
                <c:pt idx="0">
                  <c:v>Baustelleneinrichtung</c:v>
                </c:pt>
              </c:strCache>
            </c:strRef>
          </c:tx>
          <c:spPr>
            <a:solidFill>
              <a:schemeClr val="accent2"/>
            </a:solidFill>
            <a:ln>
              <a:noFill/>
            </a:ln>
            <a:effectLst/>
          </c:spPr>
          <c:invertIfNegative val="0"/>
          <c:dLbls>
            <c:delete val="1"/>
          </c:dLbls>
          <c:cat>
            <c:strRef>
              <c:extLst>
                <c:ext xmlns:c15="http://schemas.microsoft.com/office/drawing/2012/chart" uri="{02D57815-91ED-43cb-92C2-25804820EDAC}">
                  <c15:fullRef>
                    <c15:sqref>Auswertung!$C$2:$H$2</c15:sqref>
                  </c15:fullRef>
                </c:ext>
              </c:extLst>
              <c:f>(Auswertung!$C$2:$D$2,Auswertung!$H$2)</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Auswertung!$C$3:$H$3</c15:sqref>
                  </c15:fullRef>
                </c:ext>
              </c:extLst>
              <c:f>(Auswertung!$C$3:$D$3,Auswertung!$H$3)</c:f>
              <c:numCache>
                <c:formatCode>0</c:formatCode>
                <c:ptCount val="3"/>
                <c:pt idx="0">
                  <c:v>0</c:v>
                </c:pt>
                <c:pt idx="1">
                  <c:v>0</c:v>
                </c:pt>
                <c:pt idx="2">
                  <c:v>0</c:v>
                </c:pt>
              </c:numCache>
            </c:numRef>
          </c:val>
          <c:extLst>
            <c:ext xmlns:c16="http://schemas.microsoft.com/office/drawing/2014/chart" uri="{C3380CC4-5D6E-409C-BE32-E72D297353CC}">
              <c16:uniqueId val="{00000000-35CE-46D7-AA42-B36F3E93339E}"/>
            </c:ext>
          </c:extLst>
        </c:ser>
        <c:ser>
          <c:idx val="1"/>
          <c:order val="1"/>
          <c:tx>
            <c:strRef>
              <c:f>Auswertung!$B$4</c:f>
              <c:strCache>
                <c:ptCount val="1"/>
                <c:pt idx="0">
                  <c:v>Pumpen Abwasser/Grundwasser</c:v>
                </c:pt>
              </c:strCache>
            </c:strRef>
          </c:tx>
          <c:spPr>
            <a:solidFill>
              <a:schemeClr val="accent5"/>
            </a:solidFill>
            <a:ln>
              <a:noFill/>
            </a:ln>
            <a:effectLst/>
          </c:spPr>
          <c:invertIfNegative val="0"/>
          <c:dLbls>
            <c:delete val="1"/>
          </c:dLbls>
          <c:cat>
            <c:strRef>
              <c:extLst>
                <c:ext xmlns:c15="http://schemas.microsoft.com/office/drawing/2012/chart" uri="{02D57815-91ED-43cb-92C2-25804820EDAC}">
                  <c15:fullRef>
                    <c15:sqref>Auswertung!$C$2:$H$2</c15:sqref>
                  </c15:fullRef>
                </c:ext>
              </c:extLst>
              <c:f>(Auswertung!$C$2:$D$2,Auswertung!$H$2)</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Auswertung!$C$4:$H$4</c15:sqref>
                  </c15:fullRef>
                </c:ext>
              </c:extLst>
              <c:f>(Auswertung!$C$4:$D$4,Auswertung!$H$4)</c:f>
              <c:numCache>
                <c:formatCode>0</c:formatCode>
                <c:ptCount val="3"/>
                <c:pt idx="0">
                  <c:v>0</c:v>
                </c:pt>
                <c:pt idx="1">
                  <c:v>0</c:v>
                </c:pt>
                <c:pt idx="2">
                  <c:v>0</c:v>
                </c:pt>
              </c:numCache>
            </c:numRef>
          </c:val>
          <c:extLst>
            <c:ext xmlns:c16="http://schemas.microsoft.com/office/drawing/2014/chart" uri="{C3380CC4-5D6E-409C-BE32-E72D297353CC}">
              <c16:uniqueId val="{00000001-35CE-46D7-AA42-B36F3E93339E}"/>
            </c:ext>
          </c:extLst>
        </c:ser>
        <c:ser>
          <c:idx val="2"/>
          <c:order val="2"/>
          <c:tx>
            <c:strRef>
              <c:f>Auswertung!$B$5</c:f>
              <c:strCache>
                <c:ptCount val="1"/>
                <c:pt idx="0">
                  <c:v>Straßenarbeiten</c:v>
                </c:pt>
              </c:strCache>
            </c:strRef>
          </c:tx>
          <c:spPr>
            <a:solidFill>
              <a:schemeClr val="accent3"/>
            </a:solidFill>
            <a:ln>
              <a:noFill/>
            </a:ln>
            <a:effectLst/>
          </c:spPr>
          <c:invertIfNegative val="0"/>
          <c:dLbls>
            <c:delete val="1"/>
          </c:dLbls>
          <c:cat>
            <c:strRef>
              <c:extLst>
                <c:ext xmlns:c15="http://schemas.microsoft.com/office/drawing/2012/chart" uri="{02D57815-91ED-43cb-92C2-25804820EDAC}">
                  <c15:fullRef>
                    <c15:sqref>Auswertung!$C$2:$H$2</c15:sqref>
                  </c15:fullRef>
                </c:ext>
              </c:extLst>
              <c:f>(Auswertung!$C$2:$D$2,Auswertung!$H$2)</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Auswertung!$C$5:$H$5</c15:sqref>
                  </c15:fullRef>
                </c:ext>
              </c:extLst>
              <c:f>(Auswertung!$C$5:$D$5,Auswertung!$H$5)</c:f>
              <c:numCache>
                <c:formatCode>0</c:formatCode>
                <c:ptCount val="3"/>
                <c:pt idx="0">
                  <c:v>#N/A</c:v>
                </c:pt>
                <c:pt idx="1">
                  <c:v>#N/A</c:v>
                </c:pt>
                <c:pt idx="2">
                  <c:v>0</c:v>
                </c:pt>
              </c:numCache>
            </c:numRef>
          </c:val>
          <c:extLst>
            <c:ext xmlns:c16="http://schemas.microsoft.com/office/drawing/2014/chart" uri="{C3380CC4-5D6E-409C-BE32-E72D297353CC}">
              <c16:uniqueId val="{00000002-35CE-46D7-AA42-B36F3E93339E}"/>
            </c:ext>
          </c:extLst>
        </c:ser>
        <c:ser>
          <c:idx val="3"/>
          <c:order val="3"/>
          <c:tx>
            <c:strRef>
              <c:f>Auswertung!$B$6</c:f>
              <c:strCache>
                <c:ptCount val="1"/>
                <c:pt idx="0">
                  <c:v>Verbau + Bodenaushub</c:v>
                </c:pt>
              </c:strCache>
            </c:strRef>
          </c:tx>
          <c:spPr>
            <a:solidFill>
              <a:schemeClr val="accent6"/>
            </a:solidFill>
            <a:ln>
              <a:noFill/>
            </a:ln>
            <a:effectLst/>
          </c:spPr>
          <c:invertIfNegative val="0"/>
          <c:dLbls>
            <c:delete val="1"/>
          </c:dLbls>
          <c:cat>
            <c:strRef>
              <c:extLst>
                <c:ext xmlns:c15="http://schemas.microsoft.com/office/drawing/2012/chart" uri="{02D57815-91ED-43cb-92C2-25804820EDAC}">
                  <c15:fullRef>
                    <c15:sqref>Auswertung!$C$2:$H$2</c15:sqref>
                  </c15:fullRef>
                </c:ext>
              </c:extLst>
              <c:f>(Auswertung!$C$2:$D$2,Auswertung!$H$2)</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Auswertung!$C$6:$H$6</c15:sqref>
                  </c15:fullRef>
                </c:ext>
              </c:extLst>
              <c:f>(Auswertung!$C$6:$D$6,Auswertung!$H$6)</c:f>
              <c:numCache>
                <c:formatCode>0</c:formatCode>
                <c:ptCount val="3"/>
                <c:pt idx="0">
                  <c:v>0</c:v>
                </c:pt>
                <c:pt idx="1">
                  <c:v>0</c:v>
                </c:pt>
                <c:pt idx="2">
                  <c:v>0</c:v>
                </c:pt>
              </c:numCache>
            </c:numRef>
          </c:val>
          <c:extLst>
            <c:ext xmlns:c16="http://schemas.microsoft.com/office/drawing/2014/chart" uri="{C3380CC4-5D6E-409C-BE32-E72D297353CC}">
              <c16:uniqueId val="{00000003-35CE-46D7-AA42-B36F3E93339E}"/>
            </c:ext>
          </c:extLst>
        </c:ser>
        <c:ser>
          <c:idx val="4"/>
          <c:order val="4"/>
          <c:tx>
            <c:strRef>
              <c:f>Auswertung!$B$7</c:f>
              <c:strCache>
                <c:ptCount val="1"/>
                <c:pt idx="0">
                  <c:v>Rohre + Schächte</c:v>
                </c:pt>
              </c:strCache>
            </c:strRef>
          </c:tx>
          <c:spPr>
            <a:solidFill>
              <a:schemeClr val="accent4"/>
            </a:solidFill>
            <a:ln>
              <a:noFill/>
            </a:ln>
            <a:effectLst/>
          </c:spPr>
          <c:invertIfNegative val="0"/>
          <c:dLbls>
            <c:delete val="1"/>
          </c:dLbls>
          <c:cat>
            <c:strRef>
              <c:extLst>
                <c:ext xmlns:c15="http://schemas.microsoft.com/office/drawing/2012/chart" uri="{02D57815-91ED-43cb-92C2-25804820EDAC}">
                  <c15:fullRef>
                    <c15:sqref>Auswertung!$C$2:$H$2</c15:sqref>
                  </c15:fullRef>
                </c:ext>
              </c:extLst>
              <c:f>(Auswertung!$C$2:$D$2,Auswertung!$H$2)</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Auswertung!$C$7:$H$7</c15:sqref>
                  </c15:fullRef>
                </c:ext>
              </c:extLst>
              <c:f>(Auswertung!$C$7:$D$7,Auswertung!$H$7)</c:f>
              <c:numCache>
                <c:formatCode>0</c:formatCode>
                <c:ptCount val="3"/>
                <c:pt idx="0">
                  <c:v>0</c:v>
                </c:pt>
                <c:pt idx="1">
                  <c:v>0</c:v>
                </c:pt>
                <c:pt idx="2">
                  <c:v>0</c:v>
                </c:pt>
              </c:numCache>
            </c:numRef>
          </c:val>
          <c:extLst>
            <c:ext xmlns:c16="http://schemas.microsoft.com/office/drawing/2014/chart" uri="{C3380CC4-5D6E-409C-BE32-E72D297353CC}">
              <c16:uniqueId val="{00000004-35CE-46D7-AA42-B36F3E93339E}"/>
            </c:ext>
          </c:extLst>
        </c:ser>
        <c:dLbls>
          <c:showLegendKey val="0"/>
          <c:showVal val="1"/>
          <c:showCatName val="0"/>
          <c:showSerName val="0"/>
          <c:showPercent val="0"/>
          <c:showBubbleSize val="0"/>
        </c:dLbls>
        <c:gapWidth val="75"/>
        <c:overlap val="100"/>
        <c:axId val="864769775"/>
        <c:axId val="152866911"/>
      </c:barChart>
      <c:catAx>
        <c:axId val="864769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2866911"/>
        <c:crosses val="autoZero"/>
        <c:auto val="1"/>
        <c:lblAlgn val="ctr"/>
        <c:lblOffset val="100"/>
        <c:noMultiLvlLbl val="0"/>
      </c:catAx>
      <c:valAx>
        <c:axId val="1528669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647697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THG-Emissionen [kg</a:t>
            </a:r>
            <a:r>
              <a:rPr lang="de-DE" baseline="0"/>
              <a:t> CO2e/m]</a:t>
            </a:r>
            <a:endParaRPr lang="de-DE"/>
          </a:p>
        </c:rich>
      </c:tx>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stacked"/>
        <c:varyColors val="0"/>
        <c:ser>
          <c:idx val="0"/>
          <c:order val="0"/>
          <c:tx>
            <c:strRef>
              <c:f>Auswertung!$B$15</c:f>
              <c:strCache>
                <c:ptCount val="1"/>
                <c:pt idx="0">
                  <c:v>Baustelleneinrichtung</c:v>
                </c:pt>
              </c:strCache>
            </c:strRef>
          </c:tx>
          <c:spPr>
            <a:solidFill>
              <a:schemeClr val="accent2"/>
            </a:solidFill>
            <a:ln>
              <a:noFill/>
            </a:ln>
            <a:effectLst/>
          </c:spPr>
          <c:invertIfNegative val="0"/>
          <c:dLbls>
            <c:delete val="1"/>
          </c:dLbls>
          <c:cat>
            <c:strRef>
              <c:extLst>
                <c:ext xmlns:c15="http://schemas.microsoft.com/office/drawing/2012/chart" uri="{02D57815-91ED-43cb-92C2-25804820EDAC}">
                  <c15:fullRef>
                    <c15:sqref>Auswertung!$C$14:$H$14</c15:sqref>
                  </c15:fullRef>
                </c:ext>
              </c:extLst>
              <c:f>(Auswertung!$C$14:$D$14,Auswertung!$H$14)</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Auswertung!$C$15:$H$15</c15:sqref>
                  </c15:fullRef>
                </c:ext>
              </c:extLst>
              <c:f>(Auswertung!$C$15:$D$15,Auswertung!$H$15)</c:f>
              <c:numCache>
                <c:formatCode>0</c:formatCode>
                <c:ptCount val="3"/>
                <c:pt idx="0">
                  <c:v>0</c:v>
                </c:pt>
                <c:pt idx="1">
                  <c:v>0</c:v>
                </c:pt>
                <c:pt idx="2">
                  <c:v>0</c:v>
                </c:pt>
              </c:numCache>
            </c:numRef>
          </c:val>
          <c:extLst>
            <c:ext xmlns:c16="http://schemas.microsoft.com/office/drawing/2014/chart" uri="{C3380CC4-5D6E-409C-BE32-E72D297353CC}">
              <c16:uniqueId val="{00000000-988F-441A-BDFC-5B00BB8B0DA0}"/>
            </c:ext>
          </c:extLst>
        </c:ser>
        <c:ser>
          <c:idx val="1"/>
          <c:order val="1"/>
          <c:tx>
            <c:strRef>
              <c:f>Auswertung!$B$16</c:f>
              <c:strCache>
                <c:ptCount val="1"/>
                <c:pt idx="0">
                  <c:v>Pumpen Abwasser/Grundwasser</c:v>
                </c:pt>
              </c:strCache>
            </c:strRef>
          </c:tx>
          <c:spPr>
            <a:solidFill>
              <a:schemeClr val="accent5"/>
            </a:solidFill>
            <a:ln>
              <a:noFill/>
            </a:ln>
            <a:effectLst/>
          </c:spPr>
          <c:invertIfNegative val="0"/>
          <c:dLbls>
            <c:delete val="1"/>
          </c:dLbls>
          <c:cat>
            <c:strRef>
              <c:extLst>
                <c:ext xmlns:c15="http://schemas.microsoft.com/office/drawing/2012/chart" uri="{02D57815-91ED-43cb-92C2-25804820EDAC}">
                  <c15:fullRef>
                    <c15:sqref>Auswertung!$C$14:$H$14</c15:sqref>
                  </c15:fullRef>
                </c:ext>
              </c:extLst>
              <c:f>(Auswertung!$C$14:$D$14,Auswertung!$H$14)</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Auswertung!$C$16:$H$16</c15:sqref>
                  </c15:fullRef>
                </c:ext>
              </c:extLst>
              <c:f>(Auswertung!$C$16:$D$16,Auswertung!$H$16)</c:f>
              <c:numCache>
                <c:formatCode>0</c:formatCode>
                <c:ptCount val="3"/>
                <c:pt idx="0">
                  <c:v>0</c:v>
                </c:pt>
                <c:pt idx="1">
                  <c:v>0</c:v>
                </c:pt>
                <c:pt idx="2">
                  <c:v>0</c:v>
                </c:pt>
              </c:numCache>
            </c:numRef>
          </c:val>
          <c:extLst>
            <c:ext xmlns:c16="http://schemas.microsoft.com/office/drawing/2014/chart" uri="{C3380CC4-5D6E-409C-BE32-E72D297353CC}">
              <c16:uniqueId val="{00000001-988F-441A-BDFC-5B00BB8B0DA0}"/>
            </c:ext>
          </c:extLst>
        </c:ser>
        <c:ser>
          <c:idx val="2"/>
          <c:order val="2"/>
          <c:tx>
            <c:strRef>
              <c:f>Auswertung!$B$17</c:f>
              <c:strCache>
                <c:ptCount val="1"/>
                <c:pt idx="0">
                  <c:v>Straßenarbeiten</c:v>
                </c:pt>
              </c:strCache>
            </c:strRef>
          </c:tx>
          <c:spPr>
            <a:solidFill>
              <a:schemeClr val="accent3"/>
            </a:solidFill>
            <a:ln>
              <a:noFill/>
            </a:ln>
            <a:effectLst/>
          </c:spPr>
          <c:invertIfNegative val="0"/>
          <c:dLbls>
            <c:delete val="1"/>
          </c:dLbls>
          <c:cat>
            <c:strRef>
              <c:extLst>
                <c:ext xmlns:c15="http://schemas.microsoft.com/office/drawing/2012/chart" uri="{02D57815-91ED-43cb-92C2-25804820EDAC}">
                  <c15:fullRef>
                    <c15:sqref>Auswertung!$C$14:$H$14</c15:sqref>
                  </c15:fullRef>
                </c:ext>
              </c:extLst>
              <c:f>(Auswertung!$C$14:$D$14,Auswertung!$H$14)</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Auswertung!$C$17:$H$17</c15:sqref>
                  </c15:fullRef>
                </c:ext>
              </c:extLst>
              <c:f>(Auswertung!$C$17:$D$17,Auswertung!$H$17)</c:f>
              <c:numCache>
                <c:formatCode>0</c:formatCode>
                <c:ptCount val="3"/>
                <c:pt idx="0">
                  <c:v>#N/A</c:v>
                </c:pt>
                <c:pt idx="1">
                  <c:v>#N/A</c:v>
                </c:pt>
                <c:pt idx="2">
                  <c:v>0</c:v>
                </c:pt>
              </c:numCache>
            </c:numRef>
          </c:val>
          <c:extLst>
            <c:ext xmlns:c16="http://schemas.microsoft.com/office/drawing/2014/chart" uri="{C3380CC4-5D6E-409C-BE32-E72D297353CC}">
              <c16:uniqueId val="{00000002-988F-441A-BDFC-5B00BB8B0DA0}"/>
            </c:ext>
          </c:extLst>
        </c:ser>
        <c:ser>
          <c:idx val="3"/>
          <c:order val="3"/>
          <c:tx>
            <c:strRef>
              <c:f>Auswertung!$B$18</c:f>
              <c:strCache>
                <c:ptCount val="1"/>
                <c:pt idx="0">
                  <c:v>Verbau + Bodenaushub</c:v>
                </c:pt>
              </c:strCache>
            </c:strRef>
          </c:tx>
          <c:spPr>
            <a:solidFill>
              <a:schemeClr val="accent6"/>
            </a:solidFill>
            <a:ln>
              <a:noFill/>
            </a:ln>
            <a:effectLst/>
          </c:spPr>
          <c:invertIfNegative val="0"/>
          <c:dLbls>
            <c:delete val="1"/>
          </c:dLbls>
          <c:cat>
            <c:strRef>
              <c:extLst>
                <c:ext xmlns:c15="http://schemas.microsoft.com/office/drawing/2012/chart" uri="{02D57815-91ED-43cb-92C2-25804820EDAC}">
                  <c15:fullRef>
                    <c15:sqref>Auswertung!$C$14:$H$14</c15:sqref>
                  </c15:fullRef>
                </c:ext>
              </c:extLst>
              <c:f>(Auswertung!$C$14:$D$14,Auswertung!$H$14)</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Auswertung!$C$18:$H$18</c15:sqref>
                  </c15:fullRef>
                </c:ext>
              </c:extLst>
              <c:f>(Auswertung!$C$18:$D$18,Auswertung!$H$18)</c:f>
              <c:numCache>
                <c:formatCode>0</c:formatCode>
                <c:ptCount val="3"/>
                <c:pt idx="0">
                  <c:v>0</c:v>
                </c:pt>
                <c:pt idx="1">
                  <c:v>0</c:v>
                </c:pt>
                <c:pt idx="2">
                  <c:v>0</c:v>
                </c:pt>
              </c:numCache>
            </c:numRef>
          </c:val>
          <c:extLst>
            <c:ext xmlns:c16="http://schemas.microsoft.com/office/drawing/2014/chart" uri="{C3380CC4-5D6E-409C-BE32-E72D297353CC}">
              <c16:uniqueId val="{00000003-988F-441A-BDFC-5B00BB8B0DA0}"/>
            </c:ext>
          </c:extLst>
        </c:ser>
        <c:ser>
          <c:idx val="4"/>
          <c:order val="4"/>
          <c:tx>
            <c:strRef>
              <c:f>Auswertung!$B$19</c:f>
              <c:strCache>
                <c:ptCount val="1"/>
                <c:pt idx="0">
                  <c:v>Rohre + Schächte</c:v>
                </c:pt>
              </c:strCache>
            </c:strRef>
          </c:tx>
          <c:spPr>
            <a:solidFill>
              <a:schemeClr val="accent4"/>
            </a:solidFill>
            <a:ln>
              <a:noFill/>
            </a:ln>
            <a:effectLst/>
          </c:spPr>
          <c:invertIfNegative val="0"/>
          <c:dLbls>
            <c:delete val="1"/>
          </c:dLbls>
          <c:cat>
            <c:strRef>
              <c:extLst>
                <c:ext xmlns:c15="http://schemas.microsoft.com/office/drawing/2012/chart" uri="{02D57815-91ED-43cb-92C2-25804820EDAC}">
                  <c15:fullRef>
                    <c15:sqref>Auswertung!$C$14:$H$14</c15:sqref>
                  </c15:fullRef>
                </c:ext>
              </c:extLst>
              <c:f>(Auswertung!$C$14:$D$14,Auswertung!$H$14)</c:f>
              <c:strCache>
                <c:ptCount val="3"/>
                <c:pt idx="0">
                  <c:v>Abschnitt/Maßnahme 1: Hauptkanal DN300</c:v>
                </c:pt>
                <c:pt idx="1">
                  <c:v>Abschnitt/Maßnahme 2: Anschlussleitungen</c:v>
                </c:pt>
                <c:pt idx="2">
                  <c:v>Gesamt</c:v>
                </c:pt>
              </c:strCache>
            </c:strRef>
          </c:cat>
          <c:val>
            <c:numRef>
              <c:extLst>
                <c:ext xmlns:c15="http://schemas.microsoft.com/office/drawing/2012/chart" uri="{02D57815-91ED-43cb-92C2-25804820EDAC}">
                  <c15:fullRef>
                    <c15:sqref>Auswertung!$C$19:$H$19</c15:sqref>
                  </c15:fullRef>
                </c:ext>
              </c:extLst>
              <c:f>(Auswertung!$C$19:$D$19,Auswertung!$H$19)</c:f>
              <c:numCache>
                <c:formatCode>0</c:formatCode>
                <c:ptCount val="3"/>
                <c:pt idx="0">
                  <c:v>0</c:v>
                </c:pt>
                <c:pt idx="1">
                  <c:v>0</c:v>
                </c:pt>
                <c:pt idx="2">
                  <c:v>0</c:v>
                </c:pt>
              </c:numCache>
            </c:numRef>
          </c:val>
          <c:extLst>
            <c:ext xmlns:c16="http://schemas.microsoft.com/office/drawing/2014/chart" uri="{C3380CC4-5D6E-409C-BE32-E72D297353CC}">
              <c16:uniqueId val="{00000004-988F-441A-BDFC-5B00BB8B0DA0}"/>
            </c:ext>
          </c:extLst>
        </c:ser>
        <c:dLbls>
          <c:showLegendKey val="0"/>
          <c:showVal val="1"/>
          <c:showCatName val="0"/>
          <c:showSerName val="0"/>
          <c:showPercent val="0"/>
          <c:showBubbleSize val="0"/>
        </c:dLbls>
        <c:gapWidth val="75"/>
        <c:overlap val="100"/>
        <c:axId val="864769775"/>
        <c:axId val="152866911"/>
      </c:barChart>
      <c:catAx>
        <c:axId val="864769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2866911"/>
        <c:crosses val="autoZero"/>
        <c:auto val="1"/>
        <c:lblAlgn val="ctr"/>
        <c:lblOffset val="100"/>
        <c:noMultiLvlLbl val="0"/>
      </c:catAx>
      <c:valAx>
        <c:axId val="1528669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647697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56</xdr:row>
      <xdr:rowOff>152405</xdr:rowOff>
    </xdr:from>
    <xdr:to>
      <xdr:col>3</xdr:col>
      <xdr:colOff>345850</xdr:colOff>
      <xdr:row>59</xdr:row>
      <xdr:rowOff>64058</xdr:rowOff>
    </xdr:to>
    <xdr:pic>
      <xdr:nvPicPr>
        <xdr:cNvPr id="2" name="Grafik 1">
          <a:extLst>
            <a:ext uri="{FF2B5EF4-FFF2-40B4-BE49-F238E27FC236}">
              <a16:creationId xmlns:a16="http://schemas.microsoft.com/office/drawing/2014/main" id="{CE1D46FE-0741-4634-B43E-1CE94193F20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b="88454"/>
        <a:stretch/>
      </xdr:blipFill>
      <xdr:spPr>
        <a:xfrm>
          <a:off x="546100" y="12192005"/>
          <a:ext cx="1857150" cy="464103"/>
        </a:xfrm>
        <a:prstGeom prst="rect">
          <a:avLst/>
        </a:prstGeom>
      </xdr:spPr>
    </xdr:pic>
    <xdr:clientData/>
  </xdr:twoCellAnchor>
  <xdr:twoCellAnchor editAs="oneCell">
    <xdr:from>
      <xdr:col>3</xdr:col>
      <xdr:colOff>533400</xdr:colOff>
      <xdr:row>56</xdr:row>
      <xdr:rowOff>171450</xdr:rowOff>
    </xdr:from>
    <xdr:to>
      <xdr:col>6</xdr:col>
      <xdr:colOff>161699</xdr:colOff>
      <xdr:row>59</xdr:row>
      <xdr:rowOff>18887</xdr:rowOff>
    </xdr:to>
    <xdr:pic>
      <xdr:nvPicPr>
        <xdr:cNvPr id="3" name="Grafik 2">
          <a:extLst>
            <a:ext uri="{FF2B5EF4-FFF2-40B4-BE49-F238E27FC236}">
              <a16:creationId xmlns:a16="http://schemas.microsoft.com/office/drawing/2014/main" id="{D7F85979-5E7B-4C04-B472-FFA25410480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8787" b="71233"/>
        <a:stretch/>
      </xdr:blipFill>
      <xdr:spPr>
        <a:xfrm>
          <a:off x="3048000" y="12211050"/>
          <a:ext cx="1914299" cy="399887"/>
        </a:xfrm>
        <a:prstGeom prst="rect">
          <a:avLst/>
        </a:prstGeom>
      </xdr:spPr>
    </xdr:pic>
    <xdr:clientData/>
  </xdr:twoCellAnchor>
  <xdr:twoCellAnchor editAs="oneCell">
    <xdr:from>
      <xdr:col>11</xdr:col>
      <xdr:colOff>19050</xdr:colOff>
      <xdr:row>56</xdr:row>
      <xdr:rowOff>142876</xdr:rowOff>
    </xdr:from>
    <xdr:to>
      <xdr:col>13</xdr:col>
      <xdr:colOff>371250</xdr:colOff>
      <xdr:row>59</xdr:row>
      <xdr:rowOff>35300</xdr:rowOff>
    </xdr:to>
    <xdr:pic>
      <xdr:nvPicPr>
        <xdr:cNvPr id="4" name="Grafik 3">
          <a:extLst>
            <a:ext uri="{FF2B5EF4-FFF2-40B4-BE49-F238E27FC236}">
              <a16:creationId xmlns:a16="http://schemas.microsoft.com/office/drawing/2014/main" id="{804E73DA-7260-4473-8607-63759B126A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71624" b="17221"/>
        <a:stretch/>
      </xdr:blipFill>
      <xdr:spPr>
        <a:xfrm>
          <a:off x="8934450" y="12182476"/>
          <a:ext cx="1876200" cy="444874"/>
        </a:xfrm>
        <a:prstGeom prst="rect">
          <a:avLst/>
        </a:prstGeom>
      </xdr:spPr>
    </xdr:pic>
    <xdr:clientData/>
  </xdr:twoCellAnchor>
  <xdr:twoCellAnchor editAs="oneCell">
    <xdr:from>
      <xdr:col>8</xdr:col>
      <xdr:colOff>400050</xdr:colOff>
      <xdr:row>56</xdr:row>
      <xdr:rowOff>133351</xdr:rowOff>
    </xdr:from>
    <xdr:to>
      <xdr:col>10</xdr:col>
      <xdr:colOff>752251</xdr:colOff>
      <xdr:row>59</xdr:row>
      <xdr:rowOff>28950</xdr:rowOff>
    </xdr:to>
    <xdr:pic>
      <xdr:nvPicPr>
        <xdr:cNvPr id="5" name="Grafik 4">
          <a:extLst>
            <a:ext uri="{FF2B5EF4-FFF2-40B4-BE49-F238E27FC236}">
              <a16:creationId xmlns:a16="http://schemas.microsoft.com/office/drawing/2014/main" id="{3A927F42-362D-4033-A1E7-FE43FC3391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53425" b="35420"/>
        <a:stretch/>
      </xdr:blipFill>
      <xdr:spPr>
        <a:xfrm>
          <a:off x="6915150" y="12172951"/>
          <a:ext cx="1876201" cy="448049"/>
        </a:xfrm>
        <a:prstGeom prst="rect">
          <a:avLst/>
        </a:prstGeom>
      </xdr:spPr>
    </xdr:pic>
    <xdr:clientData/>
  </xdr:twoCellAnchor>
  <xdr:twoCellAnchor editAs="oneCell">
    <xdr:from>
      <xdr:col>6</xdr:col>
      <xdr:colOff>247650</xdr:colOff>
      <xdr:row>56</xdr:row>
      <xdr:rowOff>123825</xdr:rowOff>
    </xdr:from>
    <xdr:to>
      <xdr:col>8</xdr:col>
      <xdr:colOff>599850</xdr:colOff>
      <xdr:row>59</xdr:row>
      <xdr:rowOff>54709</xdr:rowOff>
    </xdr:to>
    <xdr:pic>
      <xdr:nvPicPr>
        <xdr:cNvPr id="6" name="Grafik 5">
          <a:extLst>
            <a:ext uri="{FF2B5EF4-FFF2-40B4-BE49-F238E27FC236}">
              <a16:creationId xmlns:a16="http://schemas.microsoft.com/office/drawing/2014/main" id="{302457EA-626B-4D68-AD3F-D19C7BA68A2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35421" b="52641"/>
        <a:stretch/>
      </xdr:blipFill>
      <xdr:spPr>
        <a:xfrm>
          <a:off x="5162550" y="12163425"/>
          <a:ext cx="1876200" cy="483334"/>
        </a:xfrm>
        <a:prstGeom prst="rect">
          <a:avLst/>
        </a:prstGeom>
      </xdr:spPr>
    </xdr:pic>
    <xdr:clientData/>
  </xdr:twoCellAnchor>
  <xdr:twoCellAnchor editAs="oneCell">
    <xdr:from>
      <xdr:col>13</xdr:col>
      <xdr:colOff>523875</xdr:colOff>
      <xdr:row>56</xdr:row>
      <xdr:rowOff>123826</xdr:rowOff>
    </xdr:from>
    <xdr:to>
      <xdr:col>16</xdr:col>
      <xdr:colOff>142650</xdr:colOff>
      <xdr:row>59</xdr:row>
      <xdr:rowOff>9099</xdr:rowOff>
    </xdr:to>
    <xdr:pic>
      <xdr:nvPicPr>
        <xdr:cNvPr id="7" name="Grafik 6">
          <a:extLst>
            <a:ext uri="{FF2B5EF4-FFF2-40B4-BE49-F238E27FC236}">
              <a16:creationId xmlns:a16="http://schemas.microsoft.com/office/drawing/2014/main" id="{D5A714C3-F286-469D-8417-D6AE2E9460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89433"/>
        <a:stretch/>
      </xdr:blipFill>
      <xdr:spPr>
        <a:xfrm>
          <a:off x="11039475" y="12163426"/>
          <a:ext cx="1904775" cy="4377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468273</xdr:colOff>
      <xdr:row>27</xdr:row>
      <xdr:rowOff>45357</xdr:rowOff>
    </xdr:from>
    <xdr:to>
      <xdr:col>30</xdr:col>
      <xdr:colOff>160840</xdr:colOff>
      <xdr:row>48</xdr:row>
      <xdr:rowOff>48079</xdr:rowOff>
    </xdr:to>
    <xdr:graphicFrame macro="">
      <xdr:nvGraphicFramePr>
        <xdr:cNvPr id="2" name="Diagramm 1">
          <a:extLst>
            <a:ext uri="{FF2B5EF4-FFF2-40B4-BE49-F238E27FC236}">
              <a16:creationId xmlns:a16="http://schemas.microsoft.com/office/drawing/2014/main" id="{2BDA9F88-6B4B-4C05-9082-4490F292B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509040</xdr:colOff>
      <xdr:row>49</xdr:row>
      <xdr:rowOff>97562</xdr:rowOff>
    </xdr:from>
    <xdr:to>
      <xdr:col>30</xdr:col>
      <xdr:colOff>403705</xdr:colOff>
      <xdr:row>92</xdr:row>
      <xdr:rowOff>48736</xdr:rowOff>
    </xdr:to>
    <xdr:graphicFrame macro="">
      <xdr:nvGraphicFramePr>
        <xdr:cNvPr id="3" name="Diagramm 2">
          <a:extLst>
            <a:ext uri="{FF2B5EF4-FFF2-40B4-BE49-F238E27FC236}">
              <a16:creationId xmlns:a16="http://schemas.microsoft.com/office/drawing/2014/main" id="{88FF4E53-27DB-43F3-AF05-6CD29F6CF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13447</xdr:colOff>
      <xdr:row>0</xdr:row>
      <xdr:rowOff>204106</xdr:rowOff>
    </xdr:from>
    <xdr:to>
      <xdr:col>17</xdr:col>
      <xdr:colOff>173467</xdr:colOff>
      <xdr:row>16</xdr:row>
      <xdr:rowOff>4081</xdr:rowOff>
    </xdr:to>
    <xdr:graphicFrame macro="">
      <xdr:nvGraphicFramePr>
        <xdr:cNvPr id="4" name="Diagramm 3">
          <a:extLst>
            <a:ext uri="{FF2B5EF4-FFF2-40B4-BE49-F238E27FC236}">
              <a16:creationId xmlns:a16="http://schemas.microsoft.com/office/drawing/2014/main" id="{751B3AF0-29AD-440D-A11C-45417B79CD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17</xdr:row>
      <xdr:rowOff>46181</xdr:rowOff>
    </xdr:from>
    <xdr:to>
      <xdr:col>17</xdr:col>
      <xdr:colOff>160020</xdr:colOff>
      <xdr:row>32</xdr:row>
      <xdr:rowOff>48779</xdr:rowOff>
    </xdr:to>
    <xdr:graphicFrame macro="">
      <xdr:nvGraphicFramePr>
        <xdr:cNvPr id="3" name="Diagramm 2">
          <a:extLst>
            <a:ext uri="{FF2B5EF4-FFF2-40B4-BE49-F238E27FC236}">
              <a16:creationId xmlns:a16="http://schemas.microsoft.com/office/drawing/2014/main" id="{2A271C57-E81F-4CA8-9B2C-4A0E77EA13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Müller, Lina Marie (hanseWasser, Bremen)" id="{E8C65B7F-1163-4493-A5DB-2E7EA4FF079B}" userId="S::mueller@hansewasser.de::2df769fd-7fd6-4244-a8dd-37c737d59fe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5" dT="2025-02-24T08:00:24.70" personId="{E8C65B7F-1163-4493-A5DB-2E7EA4FF079B}" id="{68081B36-9BFF-4FA8-805C-5CE14AB4A914}">
    <text>Bis hierhin Vollwand</text>
  </threadedComment>
  <threadedComment ref="A96" dT="2025-02-24T08:00:40.50" personId="{E8C65B7F-1163-4493-A5DB-2E7EA4FF079B}" id="{96E4F70E-8189-49E7-A09F-781C1C565D62}">
    <text>Ab hier Wickelrohr. Datengrundlage von Firma Frank GmbH</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hansewasser.de/unternehmen/scope-3-leitfaden"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rehau.com/downloads/87168/preisliste-abwassertechnik.pdf" TargetMode="External"/><Relationship Id="rId13" Type="http://schemas.openxmlformats.org/officeDocument/2006/relationships/hyperlink" Target="https://oekobaudat.de/OEKOBAU.DAT/datasetdetail/process.xhtml?uuid=2b2d1f3f-ab92-449d-8a2e-cd7e85818406&amp;version=00.03.000&amp;stock=OBD_2021_II&amp;lang=de" TargetMode="External"/><Relationship Id="rId18" Type="http://schemas.microsoft.com/office/2017/10/relationships/threadedComment" Target="../threadedComments/threadedComment1.xml"/><Relationship Id="rId3" Type="http://schemas.openxmlformats.org/officeDocument/2006/relationships/hyperlink" Target="https://www.chemie.de/lexikon/Baustahl.html" TargetMode="External"/><Relationship Id="rId7" Type="http://schemas.openxmlformats.org/officeDocument/2006/relationships/hyperlink" Target="https://oekobaudat.de/OEKOBAU.DAT/datasetdetail/process.xhtml?uuid=f54f1e4c-07e2-4045-9f1b-fb28ef8adf13&amp;version=20.19.120&amp;stock=OBD_2021_II&amp;lang=de" TargetMode="External"/><Relationship Id="rId12" Type="http://schemas.openxmlformats.org/officeDocument/2006/relationships/hyperlink" Target="https://oekobaudat.de/OEKOBAU.DAT/datasetdetail/process.xhtml?uuid=b6096c9c-1248-4ce1-9c2d-f4a48aade80f&amp;version=00.03.000&amp;stock=OBD_2021_II&amp;lang=de" TargetMode="External"/><Relationship Id="rId17" Type="http://schemas.openxmlformats.org/officeDocument/2006/relationships/comments" Target="../comments2.xml"/><Relationship Id="rId2" Type="http://schemas.openxmlformats.org/officeDocument/2006/relationships/hyperlink" Target="http://www.naturpflasterstein.de/altpflaster_seite4.html" TargetMode="External"/><Relationship Id="rId16" Type="http://schemas.openxmlformats.org/officeDocument/2006/relationships/vmlDrawing" Target="../drawings/vmlDrawing2.vml"/><Relationship Id="rId1" Type="http://schemas.openxmlformats.org/officeDocument/2006/relationships/hyperlink" Target="https://www.asphaltbau-ruettgens.de/gussasphalt-technische-daten/" TargetMode="External"/><Relationship Id="rId6" Type="http://schemas.openxmlformats.org/officeDocument/2006/relationships/hyperlink" Target="https://archiv2015.bgl-online.info/vorwort.html%20~120%20g/kWh" TargetMode="External"/><Relationship Id="rId11" Type="http://schemas.openxmlformats.org/officeDocument/2006/relationships/hyperlink" Target="https://oekobaudat.de/OEKOBAU.DAT/datasetdetail/process.xhtml?uuid=9702d9ab-2af2-4fdc-9d99-225583a9ffb7&amp;version=20.20.020&amp;stock=OBD_2021_II&amp;lang=de" TargetMode="External"/><Relationship Id="rId5" Type="http://schemas.openxmlformats.org/officeDocument/2006/relationships/hyperlink" Target="https://archiv2015.bgl-online.info/vorwort.html%20~120%20g/kWh" TargetMode="External"/><Relationship Id="rId15" Type="http://schemas.openxmlformats.org/officeDocument/2006/relationships/drawing" Target="../drawings/drawing2.xml"/><Relationship Id="rId10" Type="http://schemas.openxmlformats.org/officeDocument/2006/relationships/hyperlink" Target="https://oekobaudat.de/OEKOBAU.DAT/datasetdetail/process.xhtml?uuid=d311ba82-a703-4865-b5e3-f704e5b88712&amp;version=20.19.120&amp;stock=OBD_2021_II&amp;lang=de" TargetMode="External"/><Relationship Id="rId4" Type="http://schemas.openxmlformats.org/officeDocument/2006/relationships/hyperlink" Target="https://oekobaudat.de/OEKOBAU.DAT/datasetdetail/process.xhtml?uuid=d311ba82-a703-4865-b5e3-f704e5b88712&amp;version=20.19.120&amp;stock=OBD_2021_II&amp;lang=de" TargetMode="External"/><Relationship Id="rId9" Type="http://schemas.openxmlformats.org/officeDocument/2006/relationships/hyperlink" Target="https://oekobaudat.de/OEKOBAU.DAT/datasetdetail/process.xhtml?uuid=e9ae96ee-ba8d-420d-9725-7c8abd06e082&amp;version=20.19.120&amp;stock=OBD_2021_II&amp;lang=de" TargetMode="External"/><Relationship Id="rId14" Type="http://schemas.openxmlformats.org/officeDocument/2006/relationships/hyperlink" Target="https://archiv2015.bgl-online.info/vorwort.html%20~120%20g/kWh"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CE024-F77D-4B7B-95DB-EC08BE4BBB0D}">
  <sheetPr>
    <tabColor theme="2" tint="-0.249977111117893"/>
  </sheetPr>
  <dimension ref="B2:Q60"/>
  <sheetViews>
    <sheetView tabSelected="1" zoomScale="85" zoomScaleNormal="85" workbookViewId="0">
      <selection activeCell="T29" sqref="T29"/>
    </sheetView>
  </sheetViews>
  <sheetFormatPr baseColWidth="10" defaultRowHeight="15" x14ac:dyDescent="0.25"/>
  <cols>
    <col min="1" max="1" width="2.42578125" customWidth="1"/>
    <col min="3" max="3" width="22.28515625" customWidth="1"/>
  </cols>
  <sheetData>
    <row r="2" spans="2:17" x14ac:dyDescent="0.25">
      <c r="B2" s="67"/>
      <c r="C2" s="67"/>
      <c r="D2" s="67"/>
      <c r="E2" s="67"/>
      <c r="F2" s="67"/>
      <c r="G2" s="67"/>
      <c r="H2" s="67"/>
      <c r="I2" s="67"/>
      <c r="J2" s="67"/>
      <c r="K2" s="67"/>
      <c r="L2" s="67"/>
      <c r="M2" s="67"/>
      <c r="N2" s="67"/>
      <c r="O2" s="67"/>
      <c r="P2" s="67"/>
      <c r="Q2" s="67"/>
    </row>
    <row r="3" spans="2:17" ht="28.5" x14ac:dyDescent="0.25">
      <c r="B3" s="67"/>
      <c r="C3" s="68" t="s">
        <v>335</v>
      </c>
      <c r="D3" s="67"/>
      <c r="E3" s="67"/>
      <c r="F3" s="67"/>
      <c r="G3" s="67"/>
      <c r="H3" s="67"/>
      <c r="I3" s="67"/>
      <c r="J3" s="67"/>
      <c r="K3" s="67"/>
      <c r="L3" s="67"/>
      <c r="M3" s="67"/>
      <c r="N3" s="67"/>
      <c r="O3" s="67"/>
      <c r="P3" s="67"/>
      <c r="Q3" s="67"/>
    </row>
    <row r="4" spans="2:17" ht="26.25" x14ac:dyDescent="0.25">
      <c r="B4" s="67"/>
      <c r="C4" s="69" t="s">
        <v>336</v>
      </c>
      <c r="D4" s="67"/>
      <c r="E4" s="67"/>
      <c r="F4" s="67"/>
      <c r="G4" s="67"/>
      <c r="H4" s="67"/>
      <c r="I4" s="67"/>
      <c r="J4" s="67"/>
      <c r="K4" s="67"/>
      <c r="L4" s="67"/>
      <c r="M4" s="67"/>
      <c r="N4" s="67"/>
      <c r="O4" s="67"/>
      <c r="P4" s="67"/>
      <c r="Q4" s="67"/>
    </row>
    <row r="5" spans="2:17" x14ac:dyDescent="0.25">
      <c r="B5" s="67"/>
      <c r="C5" s="67"/>
      <c r="D5" s="67"/>
      <c r="E5" s="67"/>
      <c r="F5" s="67"/>
      <c r="G5" s="67"/>
      <c r="H5" s="67"/>
      <c r="I5" s="67"/>
      <c r="J5" s="67"/>
      <c r="K5" s="67"/>
      <c r="L5" s="67"/>
      <c r="M5" s="67"/>
      <c r="N5" s="67"/>
      <c r="O5" s="67"/>
      <c r="P5" s="67"/>
      <c r="Q5" s="67"/>
    </row>
    <row r="6" spans="2:17" x14ac:dyDescent="0.25">
      <c r="B6" s="67"/>
      <c r="C6" s="70" t="s">
        <v>337</v>
      </c>
      <c r="D6" s="71" t="s">
        <v>509</v>
      </c>
      <c r="E6" s="67"/>
      <c r="F6" s="67"/>
      <c r="G6" s="67"/>
      <c r="H6" s="67"/>
      <c r="I6" s="67"/>
      <c r="J6" s="67"/>
      <c r="K6" s="67"/>
      <c r="L6" s="67"/>
      <c r="M6" s="67"/>
      <c r="N6" s="67"/>
      <c r="O6" s="67"/>
      <c r="P6" s="67"/>
      <c r="Q6" s="67"/>
    </row>
    <row r="7" spans="2:17" x14ac:dyDescent="0.25">
      <c r="B7" s="67"/>
      <c r="C7" s="70" t="s">
        <v>338</v>
      </c>
      <c r="D7" s="72">
        <v>46233</v>
      </c>
      <c r="E7" s="67"/>
      <c r="F7" s="67"/>
      <c r="G7" s="67"/>
      <c r="H7" s="67"/>
      <c r="I7" s="67"/>
      <c r="J7" s="67"/>
      <c r="K7" s="67"/>
      <c r="L7" s="67"/>
      <c r="M7" s="67"/>
      <c r="N7" s="67"/>
      <c r="O7" s="67"/>
      <c r="P7" s="67"/>
      <c r="Q7" s="67"/>
    </row>
    <row r="8" spans="2:17" x14ac:dyDescent="0.25">
      <c r="B8" s="67"/>
      <c r="C8" s="67"/>
      <c r="D8" s="67"/>
      <c r="E8" s="67"/>
      <c r="F8" s="67"/>
      <c r="G8" s="67"/>
      <c r="H8" s="67"/>
      <c r="I8" s="67"/>
      <c r="J8" s="67"/>
      <c r="K8" s="67"/>
      <c r="L8" s="67"/>
      <c r="M8" s="67"/>
      <c r="N8" s="67"/>
      <c r="O8" s="67"/>
      <c r="P8" s="67"/>
      <c r="Q8" s="67"/>
    </row>
    <row r="9" spans="2:17" ht="15" customHeight="1" x14ac:dyDescent="0.25">
      <c r="B9" s="67"/>
      <c r="C9" s="308" t="s">
        <v>507</v>
      </c>
      <c r="D9" s="308"/>
      <c r="E9" s="308"/>
      <c r="F9" s="308"/>
      <c r="G9" s="308"/>
      <c r="H9" s="308"/>
      <c r="I9" s="308"/>
      <c r="J9" s="308"/>
      <c r="K9" s="308"/>
      <c r="L9" s="308"/>
      <c r="M9" s="308"/>
      <c r="N9" s="308"/>
      <c r="O9" s="308"/>
      <c r="P9" s="308"/>
      <c r="Q9" s="67"/>
    </row>
    <row r="10" spans="2:17" x14ac:dyDescent="0.25">
      <c r="B10" s="67"/>
      <c r="C10" s="308"/>
      <c r="D10" s="308"/>
      <c r="E10" s="308"/>
      <c r="F10" s="308"/>
      <c r="G10" s="308"/>
      <c r="H10" s="308"/>
      <c r="I10" s="308"/>
      <c r="J10" s="308"/>
      <c r="K10" s="308"/>
      <c r="L10" s="308"/>
      <c r="M10" s="308"/>
      <c r="N10" s="308"/>
      <c r="O10" s="308"/>
      <c r="P10" s="308"/>
      <c r="Q10" s="67"/>
    </row>
    <row r="11" spans="2:17" x14ac:dyDescent="0.25">
      <c r="B11" s="67"/>
      <c r="C11" s="308"/>
      <c r="D11" s="308"/>
      <c r="E11" s="308"/>
      <c r="F11" s="308"/>
      <c r="G11" s="308"/>
      <c r="H11" s="308"/>
      <c r="I11" s="308"/>
      <c r="J11" s="308"/>
      <c r="K11" s="308"/>
      <c r="L11" s="308"/>
      <c r="M11" s="308"/>
      <c r="N11" s="308"/>
      <c r="O11" s="308"/>
      <c r="P11" s="308"/>
      <c r="Q11" s="67"/>
    </row>
    <row r="12" spans="2:17" x14ac:dyDescent="0.25">
      <c r="B12" s="67"/>
      <c r="C12" s="308"/>
      <c r="D12" s="308"/>
      <c r="E12" s="308"/>
      <c r="F12" s="308"/>
      <c r="G12" s="308"/>
      <c r="H12" s="308"/>
      <c r="I12" s="308"/>
      <c r="J12" s="308"/>
      <c r="K12" s="308"/>
      <c r="L12" s="308"/>
      <c r="M12" s="308"/>
      <c r="N12" s="308"/>
      <c r="O12" s="308"/>
      <c r="P12" s="308"/>
      <c r="Q12" s="67"/>
    </row>
    <row r="13" spans="2:17" x14ac:dyDescent="0.25">
      <c r="B13" s="67"/>
      <c r="C13" s="308"/>
      <c r="D13" s="308"/>
      <c r="E13" s="308"/>
      <c r="F13" s="308"/>
      <c r="G13" s="308"/>
      <c r="H13" s="308"/>
      <c r="I13" s="308"/>
      <c r="J13" s="308"/>
      <c r="K13" s="308"/>
      <c r="L13" s="308"/>
      <c r="M13" s="308"/>
      <c r="N13" s="308"/>
      <c r="O13" s="308"/>
      <c r="P13" s="308"/>
      <c r="Q13" s="67"/>
    </row>
    <row r="14" spans="2:17" x14ac:dyDescent="0.25">
      <c r="B14" s="67"/>
      <c r="C14" s="308"/>
      <c r="D14" s="308"/>
      <c r="E14" s="308"/>
      <c r="F14" s="308"/>
      <c r="G14" s="308"/>
      <c r="H14" s="308"/>
      <c r="I14" s="308"/>
      <c r="J14" s="308"/>
      <c r="K14" s="308"/>
      <c r="L14" s="308"/>
      <c r="M14" s="308"/>
      <c r="N14" s="308"/>
      <c r="O14" s="308"/>
      <c r="P14" s="308"/>
      <c r="Q14" s="67"/>
    </row>
    <row r="15" spans="2:17" x14ac:dyDescent="0.25">
      <c r="B15" s="67"/>
      <c r="C15" s="308"/>
      <c r="D15" s="308"/>
      <c r="E15" s="308"/>
      <c r="F15" s="308"/>
      <c r="G15" s="308"/>
      <c r="H15" s="308"/>
      <c r="I15" s="308"/>
      <c r="J15" s="308"/>
      <c r="K15" s="308"/>
      <c r="L15" s="308"/>
      <c r="M15" s="308"/>
      <c r="N15" s="308"/>
      <c r="O15" s="308"/>
      <c r="P15" s="308"/>
      <c r="Q15" s="67"/>
    </row>
    <row r="16" spans="2:17" x14ac:dyDescent="0.25">
      <c r="B16" s="67"/>
      <c r="C16" s="308"/>
      <c r="D16" s="308"/>
      <c r="E16" s="308"/>
      <c r="F16" s="308"/>
      <c r="G16" s="308"/>
      <c r="H16" s="308"/>
      <c r="I16" s="308"/>
      <c r="J16" s="308"/>
      <c r="K16" s="308"/>
      <c r="L16" s="308"/>
      <c r="M16" s="308"/>
      <c r="N16" s="308"/>
      <c r="O16" s="308"/>
      <c r="P16" s="308"/>
      <c r="Q16" s="67"/>
    </row>
    <row r="17" spans="2:17" x14ac:dyDescent="0.25">
      <c r="B17" s="67"/>
      <c r="C17" s="308"/>
      <c r="D17" s="308"/>
      <c r="E17" s="308"/>
      <c r="F17" s="308"/>
      <c r="G17" s="308"/>
      <c r="H17" s="308"/>
      <c r="I17" s="308"/>
      <c r="J17" s="308"/>
      <c r="K17" s="308"/>
      <c r="L17" s="308"/>
      <c r="M17" s="308"/>
      <c r="N17" s="308"/>
      <c r="O17" s="308"/>
      <c r="P17" s="308"/>
      <c r="Q17" s="67"/>
    </row>
    <row r="18" spans="2:17" x14ac:dyDescent="0.25">
      <c r="B18" s="67"/>
      <c r="C18" s="67"/>
      <c r="D18" s="67"/>
      <c r="E18" s="67"/>
      <c r="F18" s="67"/>
      <c r="G18" s="67"/>
      <c r="H18" s="67"/>
      <c r="I18" s="67"/>
      <c r="J18" s="67"/>
      <c r="K18" s="67"/>
      <c r="L18" s="67"/>
      <c r="M18" s="67"/>
      <c r="N18" s="67"/>
      <c r="O18" s="67"/>
      <c r="P18" s="67"/>
      <c r="Q18" s="67"/>
    </row>
    <row r="19" spans="2:17" ht="26.25" x14ac:dyDescent="0.25">
      <c r="B19" s="67"/>
      <c r="C19" s="69" t="s">
        <v>339</v>
      </c>
      <c r="D19" s="73"/>
      <c r="E19" s="73"/>
      <c r="F19" s="73"/>
      <c r="G19" s="73"/>
      <c r="H19" s="73"/>
      <c r="I19" s="73"/>
      <c r="J19" s="73"/>
      <c r="K19" s="73"/>
      <c r="L19" s="73"/>
      <c r="M19" s="73"/>
      <c r="N19" s="73"/>
      <c r="O19" s="73"/>
      <c r="P19" s="73"/>
      <c r="Q19" s="74"/>
    </row>
    <row r="20" spans="2:17" ht="21.75" customHeight="1" x14ac:dyDescent="0.25">
      <c r="B20" s="67"/>
      <c r="C20" s="69"/>
      <c r="D20" s="73"/>
      <c r="E20" s="73"/>
      <c r="F20" s="73"/>
      <c r="G20" s="73"/>
      <c r="H20" s="73"/>
      <c r="I20" s="73"/>
      <c r="J20" s="73"/>
      <c r="K20" s="73"/>
      <c r="L20" s="73"/>
      <c r="M20" s="73"/>
      <c r="N20" s="73"/>
      <c r="O20" s="73"/>
      <c r="P20" s="73"/>
      <c r="Q20" s="74"/>
    </row>
    <row r="21" spans="2:17" ht="21" x14ac:dyDescent="0.25">
      <c r="B21" s="67"/>
      <c r="C21" s="75" t="s">
        <v>438</v>
      </c>
      <c r="D21" s="73"/>
      <c r="E21" s="73"/>
      <c r="F21" s="73"/>
      <c r="G21" s="73"/>
      <c r="H21" s="73"/>
      <c r="I21" s="73"/>
      <c r="J21" s="73"/>
      <c r="K21" s="73"/>
      <c r="L21" s="73"/>
      <c r="M21" s="73"/>
      <c r="N21" s="73"/>
      <c r="O21" s="73"/>
      <c r="P21" s="73"/>
      <c r="Q21" s="74"/>
    </row>
    <row r="22" spans="2:17" x14ac:dyDescent="0.25">
      <c r="B22" s="67"/>
      <c r="C22" s="312" t="s">
        <v>510</v>
      </c>
      <c r="D22" s="313"/>
      <c r="E22" s="313"/>
      <c r="F22" s="313"/>
      <c r="G22" s="313"/>
      <c r="H22" s="313"/>
      <c r="I22" s="313"/>
      <c r="J22" s="314" t="s">
        <v>511</v>
      </c>
      <c r="K22" s="314"/>
      <c r="L22" s="314"/>
      <c r="M22" s="314"/>
      <c r="N22" s="314"/>
      <c r="O22" s="314"/>
      <c r="P22" s="314"/>
      <c r="Q22" s="74"/>
    </row>
    <row r="23" spans="2:17" x14ac:dyDescent="0.25">
      <c r="B23" s="67"/>
      <c r="C23" s="76"/>
      <c r="D23" s="315" t="s">
        <v>439</v>
      </c>
      <c r="E23" s="315"/>
      <c r="F23" s="315"/>
      <c r="G23" s="315"/>
      <c r="H23" s="315"/>
      <c r="I23" s="315"/>
      <c r="J23" s="23"/>
      <c r="K23" s="316" t="s">
        <v>512</v>
      </c>
      <c r="L23" s="316"/>
      <c r="M23" s="316"/>
      <c r="N23" s="316"/>
      <c r="O23" s="316"/>
      <c r="P23" s="317"/>
      <c r="Q23" s="74"/>
    </row>
    <row r="24" spans="2:17" x14ac:dyDescent="0.25">
      <c r="B24" s="67"/>
      <c r="C24" s="76"/>
      <c r="D24" s="315"/>
      <c r="E24" s="315"/>
      <c r="F24" s="315"/>
      <c r="G24" s="315"/>
      <c r="H24" s="315"/>
      <c r="I24" s="315"/>
      <c r="J24" s="23"/>
      <c r="K24" s="318"/>
      <c r="L24" s="318"/>
      <c r="M24" s="318"/>
      <c r="N24" s="318"/>
      <c r="O24" s="318"/>
      <c r="P24" s="319"/>
      <c r="Q24" s="74"/>
    </row>
    <row r="25" spans="2:17" ht="15" customHeight="1" x14ac:dyDescent="0.25">
      <c r="B25" s="67"/>
      <c r="C25" s="309" t="s">
        <v>340</v>
      </c>
      <c r="D25" s="310"/>
      <c r="E25" s="310"/>
      <c r="F25" s="310"/>
      <c r="G25" s="310"/>
      <c r="H25" s="310"/>
      <c r="I25" s="310"/>
      <c r="J25" s="320" t="s">
        <v>442</v>
      </c>
      <c r="K25" s="321"/>
      <c r="L25" s="321"/>
      <c r="M25" s="321"/>
      <c r="N25" s="321"/>
      <c r="O25" s="321"/>
      <c r="P25" s="322"/>
      <c r="Q25" s="74"/>
    </row>
    <row r="26" spans="2:17" x14ac:dyDescent="0.25">
      <c r="B26" s="67"/>
      <c r="C26" s="301" t="s">
        <v>353</v>
      </c>
      <c r="D26" s="311" t="s">
        <v>341</v>
      </c>
      <c r="E26" s="311"/>
      <c r="F26" s="311"/>
      <c r="G26" s="311"/>
      <c r="H26" s="311"/>
      <c r="I26" s="311"/>
      <c r="J26" s="263"/>
      <c r="K26" s="323" t="s">
        <v>443</v>
      </c>
      <c r="L26" s="323"/>
      <c r="M26" s="323"/>
      <c r="N26" s="323"/>
      <c r="O26" s="323"/>
      <c r="P26" s="324"/>
      <c r="Q26" s="74"/>
    </row>
    <row r="27" spans="2:17" x14ac:dyDescent="0.25">
      <c r="B27" s="67"/>
      <c r="C27" s="261" t="s">
        <v>354</v>
      </c>
      <c r="D27" s="325" t="s">
        <v>342</v>
      </c>
      <c r="E27" s="325"/>
      <c r="F27" s="325"/>
      <c r="G27" s="325"/>
      <c r="H27" s="325"/>
      <c r="I27" s="325"/>
      <c r="J27" s="262"/>
      <c r="K27" s="323"/>
      <c r="L27" s="323"/>
      <c r="M27" s="323"/>
      <c r="N27" s="323"/>
      <c r="O27" s="323"/>
      <c r="P27" s="324"/>
      <c r="Q27" s="74"/>
    </row>
    <row r="28" spans="2:17" ht="18.75" x14ac:dyDescent="0.25">
      <c r="B28" s="67"/>
      <c r="C28" s="73"/>
      <c r="D28" s="73"/>
      <c r="E28" s="73"/>
      <c r="F28" s="73"/>
      <c r="G28" s="73"/>
      <c r="H28" s="73"/>
      <c r="I28" s="73"/>
      <c r="J28" s="73"/>
      <c r="K28" s="73"/>
      <c r="L28" s="73"/>
      <c r="M28" s="73"/>
      <c r="N28" s="73"/>
      <c r="O28" s="73"/>
      <c r="P28" s="73"/>
      <c r="Q28" s="67"/>
    </row>
    <row r="29" spans="2:17" ht="21" x14ac:dyDescent="0.25">
      <c r="B29" s="67"/>
      <c r="C29" s="75" t="s">
        <v>343</v>
      </c>
      <c r="D29" s="75"/>
      <c r="E29" s="75"/>
      <c r="F29" s="75"/>
      <c r="G29" s="75"/>
      <c r="H29" s="75"/>
      <c r="I29" s="75"/>
      <c r="J29" s="75"/>
      <c r="K29" s="75"/>
      <c r="L29" s="75"/>
      <c r="M29" s="75"/>
      <c r="N29" s="75"/>
      <c r="O29" s="75"/>
      <c r="P29" s="75"/>
      <c r="Q29" s="67"/>
    </row>
    <row r="30" spans="2:17" x14ac:dyDescent="0.25">
      <c r="B30" s="67"/>
      <c r="C30" s="326" t="s">
        <v>344</v>
      </c>
      <c r="D30" s="326"/>
      <c r="E30" s="326"/>
      <c r="F30" s="326"/>
      <c r="G30" s="67"/>
      <c r="H30" s="327" t="s">
        <v>345</v>
      </c>
      <c r="I30" s="327"/>
      <c r="J30" s="327"/>
      <c r="K30" s="327"/>
      <c r="L30" s="67"/>
      <c r="M30" s="328" t="s">
        <v>346</v>
      </c>
      <c r="N30" s="328"/>
      <c r="O30" s="328"/>
      <c r="P30" s="328"/>
      <c r="Q30" s="67"/>
    </row>
    <row r="31" spans="2:17" x14ac:dyDescent="0.25">
      <c r="B31" s="67"/>
      <c r="C31" s="326"/>
      <c r="D31" s="326"/>
      <c r="E31" s="326"/>
      <c r="F31" s="326"/>
      <c r="G31" s="67"/>
      <c r="H31" s="327"/>
      <c r="I31" s="327"/>
      <c r="J31" s="327"/>
      <c r="K31" s="327"/>
      <c r="L31" s="67"/>
      <c r="M31" s="328"/>
      <c r="N31" s="328"/>
      <c r="O31" s="328"/>
      <c r="P31" s="328"/>
      <c r="Q31" s="67"/>
    </row>
    <row r="32" spans="2:17" x14ac:dyDescent="0.25">
      <c r="B32" s="67"/>
      <c r="C32" s="329" t="s">
        <v>347</v>
      </c>
      <c r="D32" s="329"/>
      <c r="E32" s="329"/>
      <c r="F32" s="329"/>
      <c r="G32" s="67"/>
      <c r="H32" s="330" t="s">
        <v>348</v>
      </c>
      <c r="I32" s="330"/>
      <c r="J32" s="330"/>
      <c r="K32" s="330"/>
      <c r="L32" s="67"/>
      <c r="M32" s="331" t="s">
        <v>513</v>
      </c>
      <c r="N32" s="331"/>
      <c r="O32" s="331"/>
      <c r="P32" s="331"/>
      <c r="Q32" s="67"/>
    </row>
    <row r="33" spans="2:17" x14ac:dyDescent="0.25">
      <c r="B33" s="67"/>
      <c r="C33" s="329"/>
      <c r="D33" s="329"/>
      <c r="E33" s="329"/>
      <c r="F33" s="329"/>
      <c r="G33" s="67"/>
      <c r="H33" s="330"/>
      <c r="I33" s="330"/>
      <c r="J33" s="330"/>
      <c r="K33" s="330"/>
      <c r="L33" s="67"/>
      <c r="M33" s="331"/>
      <c r="N33" s="331"/>
      <c r="O33" s="331"/>
      <c r="P33" s="331"/>
      <c r="Q33" s="67"/>
    </row>
    <row r="34" spans="2:17" x14ac:dyDescent="0.25">
      <c r="B34" s="67"/>
      <c r="C34" s="329"/>
      <c r="D34" s="329"/>
      <c r="E34" s="329"/>
      <c r="F34" s="329"/>
      <c r="G34" s="67"/>
      <c r="H34" s="330"/>
      <c r="I34" s="330"/>
      <c r="J34" s="330"/>
      <c r="K34" s="330"/>
      <c r="L34" s="67"/>
      <c r="M34" s="331"/>
      <c r="N34" s="331"/>
      <c r="O34" s="331"/>
      <c r="P34" s="331"/>
      <c r="Q34" s="67"/>
    </row>
    <row r="35" spans="2:17" x14ac:dyDescent="0.25">
      <c r="B35" s="67"/>
      <c r="C35" s="329"/>
      <c r="D35" s="329"/>
      <c r="E35" s="329"/>
      <c r="F35" s="329"/>
      <c r="G35" s="67"/>
      <c r="H35" s="330"/>
      <c r="I35" s="330"/>
      <c r="J35" s="330"/>
      <c r="K35" s="330"/>
      <c r="L35" s="67"/>
      <c r="M35" s="331"/>
      <c r="N35" s="331"/>
      <c r="O35" s="331"/>
      <c r="P35" s="331"/>
      <c r="Q35" s="67"/>
    </row>
    <row r="36" spans="2:17" ht="69" customHeight="1" x14ac:dyDescent="0.25">
      <c r="B36" s="67"/>
      <c r="C36" s="329"/>
      <c r="D36" s="329"/>
      <c r="E36" s="329"/>
      <c r="F36" s="329"/>
      <c r="G36" s="67"/>
      <c r="H36" s="330"/>
      <c r="I36" s="330"/>
      <c r="J36" s="330"/>
      <c r="K36" s="330"/>
      <c r="L36" s="67"/>
      <c r="M36" s="331"/>
      <c r="N36" s="331"/>
      <c r="O36" s="331"/>
      <c r="P36" s="331"/>
      <c r="Q36" s="67"/>
    </row>
    <row r="37" spans="2:17" x14ac:dyDescent="0.25">
      <c r="B37" s="67"/>
      <c r="C37" s="67"/>
      <c r="D37" s="67"/>
      <c r="E37" s="67"/>
      <c r="F37" s="67"/>
      <c r="G37" s="67"/>
      <c r="H37" s="67"/>
      <c r="I37" s="67"/>
      <c r="J37" s="67"/>
      <c r="K37" s="67"/>
      <c r="L37" s="67"/>
      <c r="M37" s="67"/>
      <c r="N37" s="67"/>
      <c r="O37" s="67"/>
      <c r="P37" s="67"/>
      <c r="Q37" s="67"/>
    </row>
    <row r="38" spans="2:17" ht="21" x14ac:dyDescent="0.25">
      <c r="B38" s="67"/>
      <c r="C38" s="75" t="s">
        <v>349</v>
      </c>
      <c r="D38" s="67"/>
      <c r="E38" s="67"/>
      <c r="F38" s="67"/>
      <c r="G38" s="67"/>
      <c r="H38" s="67"/>
      <c r="I38" s="67"/>
      <c r="J38" s="67"/>
      <c r="K38" s="67"/>
      <c r="L38" s="67"/>
      <c r="M38" s="67"/>
      <c r="N38" s="67"/>
      <c r="O38" s="67"/>
      <c r="P38" s="67"/>
      <c r="Q38" s="67"/>
    </row>
    <row r="39" spans="2:17" x14ac:dyDescent="0.25">
      <c r="B39" s="67"/>
      <c r="C39" s="260" t="s">
        <v>350</v>
      </c>
      <c r="D39" s="335" t="s">
        <v>351</v>
      </c>
      <c r="E39" s="335"/>
      <c r="F39" s="335"/>
      <c r="G39" s="335"/>
      <c r="H39" s="335"/>
      <c r="I39" s="335"/>
      <c r="J39" s="335"/>
      <c r="K39" s="335"/>
      <c r="L39" s="335"/>
      <c r="M39" s="335"/>
      <c r="N39" s="335"/>
      <c r="O39" s="335"/>
      <c r="P39" s="335"/>
      <c r="Q39" s="67"/>
    </row>
    <row r="40" spans="2:17" x14ac:dyDescent="0.25">
      <c r="B40" s="67"/>
      <c r="C40" s="77" t="s">
        <v>360</v>
      </c>
      <c r="D40" s="336" t="s">
        <v>361</v>
      </c>
      <c r="E40" s="336"/>
      <c r="F40" s="336"/>
      <c r="G40" s="336"/>
      <c r="H40" s="336"/>
      <c r="I40" s="336"/>
      <c r="J40" s="336"/>
      <c r="K40" s="336"/>
      <c r="L40" s="336"/>
      <c r="M40" s="336"/>
      <c r="N40" s="336"/>
      <c r="O40" s="336"/>
      <c r="P40" s="336"/>
      <c r="Q40" s="67"/>
    </row>
    <row r="41" spans="2:17" ht="33.75" customHeight="1" x14ac:dyDescent="0.25">
      <c r="B41" s="67"/>
      <c r="C41" s="255" t="s">
        <v>503</v>
      </c>
      <c r="D41" s="337" t="s">
        <v>440</v>
      </c>
      <c r="E41" s="337"/>
      <c r="F41" s="337"/>
      <c r="G41" s="337"/>
      <c r="H41" s="337"/>
      <c r="I41" s="337"/>
      <c r="J41" s="337"/>
      <c r="K41" s="337"/>
      <c r="L41" s="337"/>
      <c r="M41" s="337"/>
      <c r="N41" s="337"/>
      <c r="O41" s="337"/>
      <c r="P41" s="337"/>
      <c r="Q41" s="67"/>
    </row>
    <row r="42" spans="2:17" ht="31.5" x14ac:dyDescent="0.25">
      <c r="B42" s="67"/>
      <c r="C42" s="82" t="s">
        <v>362</v>
      </c>
      <c r="D42" s="334" t="s">
        <v>514</v>
      </c>
      <c r="E42" s="334"/>
      <c r="F42" s="334"/>
      <c r="G42" s="334"/>
      <c r="H42" s="334"/>
      <c r="I42" s="334"/>
      <c r="J42" s="334"/>
      <c r="K42" s="334"/>
      <c r="L42" s="334"/>
      <c r="M42" s="334"/>
      <c r="N42" s="334"/>
      <c r="O42" s="334"/>
      <c r="P42" s="334"/>
      <c r="Q42" s="67"/>
    </row>
    <row r="43" spans="2:17" ht="15.75" x14ac:dyDescent="0.25">
      <c r="B43" s="67"/>
      <c r="C43" s="78" t="s">
        <v>352</v>
      </c>
      <c r="D43" s="79" t="s">
        <v>515</v>
      </c>
      <c r="E43" s="79"/>
      <c r="F43" s="79"/>
      <c r="G43" s="79"/>
      <c r="H43" s="79"/>
      <c r="I43" s="79"/>
      <c r="J43" s="79"/>
      <c r="K43" s="79"/>
      <c r="L43" s="79"/>
      <c r="M43" s="79"/>
      <c r="N43" s="79"/>
      <c r="O43" s="79"/>
      <c r="P43" s="79"/>
      <c r="Q43" s="67"/>
    </row>
    <row r="44" spans="2:17" x14ac:dyDescent="0.25">
      <c r="B44" s="67"/>
      <c r="C44" s="67"/>
      <c r="D44" s="67"/>
      <c r="E44" s="67"/>
      <c r="F44" s="67"/>
      <c r="G44" s="67"/>
      <c r="H44" s="67"/>
      <c r="I44" s="67"/>
      <c r="J44" s="67"/>
      <c r="K44" s="67"/>
      <c r="L44" s="67"/>
      <c r="M44" s="67"/>
      <c r="N44" s="67"/>
      <c r="O44" s="67"/>
      <c r="P44" s="67"/>
      <c r="Q44" s="67"/>
    </row>
    <row r="45" spans="2:17" ht="21" x14ac:dyDescent="0.25">
      <c r="B45" s="67"/>
      <c r="C45" s="75" t="s">
        <v>355</v>
      </c>
      <c r="D45" s="67"/>
      <c r="E45" s="67"/>
      <c r="F45" s="67"/>
      <c r="G45" s="67"/>
      <c r="H45" s="67"/>
      <c r="I45" s="67"/>
      <c r="J45" s="67"/>
      <c r="K45" s="67"/>
      <c r="L45" s="67"/>
      <c r="M45" s="67"/>
      <c r="N45" s="67"/>
      <c r="O45" s="67"/>
      <c r="P45" s="67"/>
      <c r="Q45" s="67"/>
    </row>
    <row r="46" spans="2:17" x14ac:dyDescent="0.25">
      <c r="B46" s="67"/>
      <c r="C46" s="332" t="s">
        <v>356</v>
      </c>
      <c r="D46" s="332"/>
      <c r="E46" s="332"/>
      <c r="F46" s="332"/>
      <c r="G46" s="332"/>
      <c r="H46" s="332"/>
      <c r="I46" s="332"/>
      <c r="J46" s="332"/>
      <c r="K46" s="332"/>
      <c r="L46" s="332"/>
      <c r="M46" s="332"/>
      <c r="N46" s="332"/>
      <c r="O46" s="332"/>
      <c r="P46" s="332"/>
      <c r="Q46" s="67"/>
    </row>
    <row r="47" spans="2:17" x14ac:dyDescent="0.25">
      <c r="B47" s="67"/>
      <c r="C47" s="332"/>
      <c r="D47" s="332"/>
      <c r="E47" s="332"/>
      <c r="F47" s="332"/>
      <c r="G47" s="332"/>
      <c r="H47" s="332"/>
      <c r="I47" s="332"/>
      <c r="J47" s="332"/>
      <c r="K47" s="332"/>
      <c r="L47" s="332"/>
      <c r="M47" s="332"/>
      <c r="N47" s="332"/>
      <c r="O47" s="332"/>
      <c r="P47" s="332"/>
      <c r="Q47" s="67"/>
    </row>
    <row r="48" spans="2:17" x14ac:dyDescent="0.25">
      <c r="B48" s="67"/>
      <c r="C48" s="332"/>
      <c r="D48" s="332"/>
      <c r="E48" s="332"/>
      <c r="F48" s="332"/>
      <c r="G48" s="332"/>
      <c r="H48" s="332"/>
      <c r="I48" s="332"/>
      <c r="J48" s="332"/>
      <c r="K48" s="332"/>
      <c r="L48" s="332"/>
      <c r="M48" s="332"/>
      <c r="N48" s="332"/>
      <c r="O48" s="332"/>
      <c r="P48" s="332"/>
      <c r="Q48" s="67"/>
    </row>
    <row r="49" spans="2:17" x14ac:dyDescent="0.25">
      <c r="B49" s="67"/>
      <c r="C49" s="332"/>
      <c r="D49" s="332"/>
      <c r="E49" s="332"/>
      <c r="F49" s="332"/>
      <c r="G49" s="332"/>
      <c r="H49" s="332"/>
      <c r="I49" s="332"/>
      <c r="J49" s="332"/>
      <c r="K49" s="332"/>
      <c r="L49" s="332"/>
      <c r="M49" s="332"/>
      <c r="N49" s="332"/>
      <c r="O49" s="332"/>
      <c r="P49" s="332"/>
      <c r="Q49" s="67"/>
    </row>
    <row r="50" spans="2:17" x14ac:dyDescent="0.25">
      <c r="B50" s="67"/>
      <c r="C50" s="332"/>
      <c r="D50" s="332"/>
      <c r="E50" s="332"/>
      <c r="F50" s="332"/>
      <c r="G50" s="332"/>
      <c r="H50" s="332"/>
      <c r="I50" s="332"/>
      <c r="J50" s="332"/>
      <c r="K50" s="332"/>
      <c r="L50" s="332"/>
      <c r="M50" s="332"/>
      <c r="N50" s="332"/>
      <c r="O50" s="332"/>
      <c r="P50" s="332"/>
      <c r="Q50" s="67"/>
    </row>
    <row r="51" spans="2:17" x14ac:dyDescent="0.25">
      <c r="B51" s="67"/>
      <c r="C51" s="332"/>
      <c r="D51" s="332"/>
      <c r="E51" s="332"/>
      <c r="F51" s="332"/>
      <c r="G51" s="332"/>
      <c r="H51" s="332"/>
      <c r="I51" s="332"/>
      <c r="J51" s="332"/>
      <c r="K51" s="332"/>
      <c r="L51" s="332"/>
      <c r="M51" s="332"/>
      <c r="N51" s="332"/>
      <c r="O51" s="332"/>
      <c r="P51" s="332"/>
      <c r="Q51" s="67"/>
    </row>
    <row r="52" spans="2:17" x14ac:dyDescent="0.25">
      <c r="B52" s="67"/>
      <c r="C52" s="67"/>
      <c r="D52" s="67"/>
      <c r="E52" s="67"/>
      <c r="F52" s="67"/>
      <c r="G52" s="67"/>
      <c r="H52" s="67"/>
      <c r="I52" s="67"/>
      <c r="J52" s="67"/>
      <c r="K52" s="67"/>
      <c r="L52" s="67"/>
      <c r="M52" s="67"/>
      <c r="N52" s="67"/>
      <c r="O52" s="67"/>
      <c r="P52" s="67"/>
      <c r="Q52" s="67"/>
    </row>
    <row r="53" spans="2:17" ht="21" x14ac:dyDescent="0.25">
      <c r="B53" s="67"/>
      <c r="C53" s="75" t="s">
        <v>357</v>
      </c>
      <c r="D53" s="75"/>
      <c r="E53" s="75"/>
      <c r="F53" s="75"/>
      <c r="G53" s="75"/>
      <c r="H53" s="75"/>
      <c r="I53" s="75"/>
      <c r="J53" s="75"/>
      <c r="K53" s="75"/>
      <c r="L53" s="75"/>
      <c r="M53" s="75"/>
      <c r="N53" s="75"/>
      <c r="O53" s="75"/>
      <c r="P53" s="75"/>
      <c r="Q53" s="67"/>
    </row>
    <row r="54" spans="2:17" x14ac:dyDescent="0.25">
      <c r="B54" s="67"/>
      <c r="C54" s="333" t="s">
        <v>358</v>
      </c>
      <c r="D54" s="333"/>
      <c r="E54" s="333"/>
      <c r="F54" s="333"/>
      <c r="G54" s="333"/>
      <c r="H54" s="333"/>
      <c r="I54" s="333"/>
      <c r="J54" s="333"/>
      <c r="K54" s="333"/>
      <c r="L54" s="333"/>
      <c r="M54" s="333"/>
      <c r="N54" s="333"/>
      <c r="O54" s="333"/>
      <c r="P54" s="333"/>
      <c r="Q54" s="67"/>
    </row>
    <row r="55" spans="2:17" x14ac:dyDescent="0.25">
      <c r="B55" s="67"/>
      <c r="C55" s="67"/>
      <c r="D55" s="67"/>
      <c r="E55" s="67"/>
      <c r="F55" s="67"/>
      <c r="G55" s="67"/>
      <c r="H55" s="67"/>
      <c r="I55" s="67"/>
      <c r="J55" s="67"/>
      <c r="K55" s="67"/>
      <c r="L55" s="67"/>
      <c r="M55" s="67"/>
      <c r="N55" s="67"/>
      <c r="O55" s="67"/>
      <c r="P55" s="67"/>
      <c r="Q55" s="67"/>
    </row>
    <row r="56" spans="2:17" ht="21" x14ac:dyDescent="0.25">
      <c r="B56" s="67"/>
      <c r="C56" s="75" t="s">
        <v>359</v>
      </c>
      <c r="D56" s="67"/>
      <c r="E56" s="67"/>
      <c r="F56" s="67"/>
      <c r="G56" s="67"/>
      <c r="H56" s="67"/>
      <c r="I56" s="67"/>
      <c r="J56" s="67"/>
      <c r="K56" s="67"/>
      <c r="L56" s="67"/>
      <c r="M56" s="67"/>
      <c r="N56" s="67"/>
      <c r="O56" s="67"/>
      <c r="P56" s="67"/>
      <c r="Q56" s="67"/>
    </row>
    <row r="57" spans="2:17" x14ac:dyDescent="0.25">
      <c r="B57" s="80"/>
      <c r="C57" s="80"/>
      <c r="D57" s="80"/>
      <c r="E57" s="80"/>
      <c r="F57" s="80"/>
      <c r="G57" s="80"/>
      <c r="H57" s="80"/>
      <c r="I57" s="80"/>
      <c r="J57" s="80"/>
      <c r="K57" s="80"/>
      <c r="L57" s="80"/>
      <c r="M57" s="80"/>
      <c r="N57" s="80"/>
      <c r="O57" s="80"/>
      <c r="P57" s="80"/>
      <c r="Q57" s="80"/>
    </row>
    <row r="58" spans="2:17" x14ac:dyDescent="0.25">
      <c r="B58" s="80"/>
      <c r="C58" s="80"/>
      <c r="D58" s="80"/>
      <c r="E58" s="80"/>
      <c r="F58" s="80"/>
      <c r="G58" s="80"/>
      <c r="H58" s="80"/>
      <c r="I58" s="80"/>
      <c r="J58" s="80"/>
      <c r="K58" s="80"/>
      <c r="L58" s="80"/>
      <c r="M58" s="80"/>
      <c r="N58" s="80"/>
      <c r="O58" s="80"/>
      <c r="P58" s="80"/>
      <c r="Q58" s="80"/>
    </row>
    <row r="59" spans="2:17" x14ac:dyDescent="0.25">
      <c r="B59" s="80"/>
      <c r="C59" s="80"/>
      <c r="D59" s="80"/>
      <c r="E59" s="80"/>
      <c r="F59" s="80"/>
      <c r="G59" s="80"/>
      <c r="H59" s="80"/>
      <c r="I59" s="80"/>
      <c r="J59" s="80"/>
      <c r="K59" s="80"/>
      <c r="L59" s="80"/>
      <c r="M59" s="80"/>
      <c r="N59" s="80"/>
      <c r="O59" s="80"/>
      <c r="P59" s="80"/>
      <c r="Q59" s="80"/>
    </row>
    <row r="60" spans="2:17" x14ac:dyDescent="0.25">
      <c r="B60" s="81"/>
      <c r="C60" s="81"/>
      <c r="D60" s="81"/>
      <c r="E60" s="81"/>
      <c r="F60" s="81"/>
      <c r="G60" s="81"/>
      <c r="H60" s="81"/>
      <c r="I60" s="81"/>
      <c r="J60" s="81"/>
      <c r="K60" s="81"/>
      <c r="L60" s="81"/>
      <c r="M60" s="81"/>
      <c r="N60" s="81"/>
      <c r="O60" s="81"/>
      <c r="P60" s="81"/>
      <c r="Q60" s="81"/>
    </row>
  </sheetData>
  <mergeCells count="22">
    <mergeCell ref="C46:P51"/>
    <mergeCell ref="C54:P54"/>
    <mergeCell ref="D42:P42"/>
    <mergeCell ref="D39:P39"/>
    <mergeCell ref="D40:P40"/>
    <mergeCell ref="D41:P41"/>
    <mergeCell ref="C30:F31"/>
    <mergeCell ref="H30:K31"/>
    <mergeCell ref="M30:P31"/>
    <mergeCell ref="C32:F36"/>
    <mergeCell ref="H32:K36"/>
    <mergeCell ref="M32:P36"/>
    <mergeCell ref="C9:P17"/>
    <mergeCell ref="C25:I25"/>
    <mergeCell ref="D26:I26"/>
    <mergeCell ref="C22:I22"/>
    <mergeCell ref="J22:P22"/>
    <mergeCell ref="D23:I24"/>
    <mergeCell ref="K23:P24"/>
    <mergeCell ref="J25:P25"/>
    <mergeCell ref="K26:P27"/>
    <mergeCell ref="D27:I27"/>
  </mergeCells>
  <hyperlinks>
    <hyperlink ref="C54" r:id="rId1" xr:uid="{A78A12D8-F620-47E1-BA69-C3FBF5EFE469}"/>
  </hyperlinks>
  <pageMargins left="0.7" right="0.7" top="0.78740157499999996" bottom="0.78740157499999996"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41F5-3596-4B89-B172-F70AC1D45D8D}">
  <sheetPr>
    <tabColor theme="7"/>
  </sheetPr>
  <dimension ref="A1:R303"/>
  <sheetViews>
    <sheetView zoomScaleNormal="100" workbookViewId="0">
      <selection activeCell="K234" sqref="K234"/>
    </sheetView>
  </sheetViews>
  <sheetFormatPr baseColWidth="10" defaultRowHeight="15" x14ac:dyDescent="0.25"/>
  <cols>
    <col min="2" max="2" width="22.5703125" customWidth="1"/>
    <col min="6" max="10" width="24.140625" customWidth="1"/>
    <col min="11" max="11" width="23.7109375" customWidth="1"/>
    <col min="12" max="12" width="17.42578125" style="15" customWidth="1"/>
    <col min="14" max="14" width="59.7109375" customWidth="1"/>
  </cols>
  <sheetData>
    <row r="1" spans="1:14" ht="15.75" thickBot="1" x14ac:dyDescent="0.3"/>
    <row r="2" spans="1:14" ht="31.5" x14ac:dyDescent="0.25">
      <c r="A2" s="178" t="s">
        <v>351</v>
      </c>
      <c r="B2" s="179"/>
      <c r="C2" s="179"/>
      <c r="D2" s="179"/>
      <c r="E2" s="179"/>
      <c r="F2" s="180"/>
      <c r="G2" s="180"/>
      <c r="H2" s="180"/>
      <c r="I2" s="180"/>
      <c r="J2" s="180"/>
      <c r="K2" s="179"/>
      <c r="L2" s="181"/>
      <c r="M2" s="182"/>
      <c r="N2" s="183"/>
    </row>
    <row r="3" spans="1:14" s="29" customFormat="1" ht="15" hidden="1" customHeight="1" x14ac:dyDescent="0.35">
      <c r="A3" s="184"/>
      <c r="B3" s="28"/>
      <c r="C3" s="28"/>
      <c r="D3" s="28"/>
      <c r="E3" s="28"/>
      <c r="F3" s="185"/>
      <c r="G3" s="185"/>
      <c r="H3" s="185"/>
      <c r="I3" s="185"/>
      <c r="J3" s="185"/>
      <c r="K3" s="28"/>
      <c r="L3" s="186"/>
      <c r="M3" s="187"/>
      <c r="N3" s="188"/>
    </row>
    <row r="4" spans="1:14" ht="21" hidden="1" x14ac:dyDescent="0.25">
      <c r="A4" s="189" t="s">
        <v>170</v>
      </c>
      <c r="B4" s="2"/>
      <c r="C4" s="2"/>
      <c r="D4" s="2"/>
      <c r="E4" s="2"/>
      <c r="F4" s="13"/>
      <c r="G4" s="13"/>
      <c r="H4" s="13"/>
      <c r="I4" s="13"/>
      <c r="J4" s="13"/>
      <c r="K4" s="2"/>
      <c r="L4" s="113"/>
      <c r="M4" s="111"/>
      <c r="N4" s="3"/>
    </row>
    <row r="5" spans="1:14" ht="15" hidden="1" customHeight="1" x14ac:dyDescent="0.25">
      <c r="A5" s="189"/>
      <c r="B5" s="2" t="s">
        <v>172</v>
      </c>
      <c r="C5" s="2"/>
      <c r="D5" s="2"/>
      <c r="E5" s="2"/>
      <c r="F5" s="59" t="s">
        <v>434</v>
      </c>
      <c r="G5" s="13"/>
      <c r="H5" s="13"/>
      <c r="I5" s="13"/>
      <c r="J5" s="13"/>
      <c r="K5" s="2"/>
      <c r="L5" s="113"/>
      <c r="M5" s="111"/>
      <c r="N5" s="3"/>
    </row>
    <row r="6" spans="1:14" ht="15" hidden="1" customHeight="1" x14ac:dyDescent="0.25">
      <c r="A6" s="189"/>
      <c r="B6" s="2" t="s">
        <v>173</v>
      </c>
      <c r="C6" s="2"/>
      <c r="D6" s="2"/>
      <c r="E6" s="2"/>
      <c r="F6" s="59" t="s">
        <v>331</v>
      </c>
      <c r="G6" s="13"/>
      <c r="H6" s="13"/>
      <c r="I6" s="13"/>
      <c r="J6" s="13"/>
      <c r="K6" s="2"/>
      <c r="L6" s="113"/>
      <c r="M6" s="111"/>
      <c r="N6" s="3"/>
    </row>
    <row r="7" spans="1:14" ht="15" hidden="1" customHeight="1" x14ac:dyDescent="0.25">
      <c r="A7" s="189"/>
      <c r="B7" s="2" t="s">
        <v>171</v>
      </c>
      <c r="C7" s="2"/>
      <c r="D7" s="2"/>
      <c r="E7" s="2"/>
      <c r="F7" s="60" t="s">
        <v>435</v>
      </c>
      <c r="G7" s="13"/>
      <c r="H7" s="13"/>
      <c r="I7" s="13"/>
      <c r="J7" s="13"/>
      <c r="K7" s="2"/>
      <c r="L7" s="113"/>
      <c r="M7" s="111"/>
      <c r="N7" s="3"/>
    </row>
    <row r="8" spans="1:14" ht="15" customHeight="1" x14ac:dyDescent="0.25">
      <c r="A8" s="189"/>
      <c r="B8" s="2"/>
      <c r="C8" s="2"/>
      <c r="D8" s="2"/>
      <c r="E8" s="2"/>
      <c r="F8" s="13"/>
      <c r="G8" s="13"/>
      <c r="H8" s="13"/>
      <c r="I8" s="13"/>
      <c r="J8" s="13"/>
      <c r="K8" s="2"/>
      <c r="L8" s="113"/>
      <c r="M8" s="111"/>
      <c r="N8" s="3"/>
    </row>
    <row r="9" spans="1:14" ht="21" x14ac:dyDescent="0.35">
      <c r="A9" s="1" t="s">
        <v>0</v>
      </c>
      <c r="B9" s="2"/>
      <c r="C9" s="2"/>
      <c r="D9" s="2"/>
      <c r="E9" s="2"/>
      <c r="F9" s="338"/>
      <c r="G9" s="338"/>
      <c r="H9" s="338"/>
      <c r="I9" s="338"/>
      <c r="J9" s="338"/>
      <c r="K9" s="2"/>
      <c r="L9" s="113"/>
      <c r="M9" s="111"/>
      <c r="N9" s="3"/>
    </row>
    <row r="10" spans="1:14" ht="30" x14ac:dyDescent="0.4">
      <c r="A10" s="4"/>
      <c r="B10" s="2"/>
      <c r="C10" s="2"/>
      <c r="D10" s="2"/>
      <c r="E10" s="2"/>
      <c r="F10" s="205" t="s">
        <v>436</v>
      </c>
      <c r="G10" s="205" t="s">
        <v>332</v>
      </c>
      <c r="H10" s="205" t="s">
        <v>320</v>
      </c>
      <c r="I10" s="205" t="s">
        <v>321</v>
      </c>
      <c r="J10" s="205" t="s">
        <v>322</v>
      </c>
      <c r="K10" s="204" t="s">
        <v>10</v>
      </c>
      <c r="L10" s="258" t="s">
        <v>12</v>
      </c>
      <c r="M10" s="167"/>
      <c r="N10" s="259" t="s">
        <v>11</v>
      </c>
    </row>
    <row r="11" spans="1:14" x14ac:dyDescent="0.25">
      <c r="A11" s="5"/>
      <c r="B11" s="6" t="s">
        <v>1</v>
      </c>
      <c r="C11" s="6"/>
      <c r="D11" s="6"/>
      <c r="E11" s="6"/>
      <c r="F11" s="61" t="e">
        <f>F24+F27+F42+F123+F222</f>
        <v>#N/A</v>
      </c>
      <c r="G11" s="61" t="e">
        <f>G24+G27+G42+G123+G222</f>
        <v>#N/A</v>
      </c>
      <c r="H11" s="190" t="e">
        <f>SUM(H24,H27,H42,H123,H222)</f>
        <v>#N/A</v>
      </c>
      <c r="I11" s="190" t="e">
        <f>SUM(I24,I27,I42,I123,I222)</f>
        <v>#N/A</v>
      </c>
      <c r="J11" s="190" t="e">
        <f>SUM(J24,J27,J42,J123,J222)</f>
        <v>#N/A</v>
      </c>
      <c r="K11" s="61" cm="1">
        <f t="array" ref="K11">SUM(IF(ISNUMBER(F11:J11),F11:J11))</f>
        <v>0</v>
      </c>
      <c r="L11" s="177" t="s">
        <v>2</v>
      </c>
      <c r="M11" s="111"/>
      <c r="N11" s="3"/>
    </row>
    <row r="12" spans="1:14" x14ac:dyDescent="0.25">
      <c r="A12" s="5"/>
      <c r="B12" s="12" t="s">
        <v>415</v>
      </c>
      <c r="C12" s="6"/>
      <c r="D12" s="6"/>
      <c r="E12" s="6"/>
      <c r="F12" s="61" t="e">
        <f>SUM(F78,F188,F192,F212,F291,F296)</f>
        <v>#N/A</v>
      </c>
      <c r="G12" s="61"/>
      <c r="H12" s="61"/>
      <c r="I12" s="61"/>
      <c r="J12" s="61"/>
      <c r="K12" s="61"/>
      <c r="L12" s="177"/>
      <c r="M12" s="111"/>
      <c r="N12" s="3"/>
    </row>
    <row r="13" spans="1:14" x14ac:dyDescent="0.25">
      <c r="A13" s="5"/>
      <c r="B13" s="2" t="s">
        <v>508</v>
      </c>
      <c r="C13" s="2"/>
      <c r="D13" s="2"/>
      <c r="E13" s="2"/>
      <c r="F13" s="62" t="e">
        <f>F11/F21</f>
        <v>#N/A</v>
      </c>
      <c r="G13" s="62" t="e">
        <f t="shared" ref="G13:I13" si="0">G11/G21</f>
        <v>#N/A</v>
      </c>
      <c r="H13" s="62" t="e">
        <f t="shared" si="0"/>
        <v>#N/A</v>
      </c>
      <c r="I13" s="62" t="e">
        <f t="shared" si="0"/>
        <v>#N/A</v>
      </c>
      <c r="J13" s="62" t="e">
        <f>J11/J21</f>
        <v>#N/A</v>
      </c>
      <c r="K13" s="62" t="e">
        <f>K11/K21</f>
        <v>#DIV/0!</v>
      </c>
      <c r="L13" s="112" t="s">
        <v>3</v>
      </c>
      <c r="M13" s="111"/>
      <c r="N13" s="3"/>
    </row>
    <row r="14" spans="1:14" x14ac:dyDescent="0.25">
      <c r="A14" s="7"/>
      <c r="B14" s="107"/>
      <c r="C14" s="107"/>
      <c r="D14" s="107"/>
      <c r="E14" s="107"/>
      <c r="F14" s="107"/>
      <c r="G14" s="107"/>
      <c r="H14" s="191"/>
      <c r="I14" s="191"/>
      <c r="J14" s="192"/>
      <c r="K14" s="107"/>
      <c r="L14" s="193"/>
      <c r="M14" s="194"/>
      <c r="N14" s="195"/>
    </row>
    <row r="15" spans="1:14" ht="18.75" x14ac:dyDescent="0.3">
      <c r="A15" s="8" t="s">
        <v>4</v>
      </c>
      <c r="B15" s="196" t="s">
        <v>5</v>
      </c>
      <c r="C15" s="14"/>
      <c r="D15" s="14"/>
      <c r="E15" s="14"/>
      <c r="F15" s="197"/>
      <c r="G15" s="197"/>
      <c r="H15" s="197"/>
      <c r="I15" s="197"/>
      <c r="J15" s="197"/>
      <c r="K15" s="14"/>
      <c r="L15" s="198"/>
      <c r="M15" s="199"/>
      <c r="N15" s="9"/>
    </row>
    <row r="16" spans="1:14" x14ac:dyDescent="0.25">
      <c r="A16" s="10"/>
      <c r="B16" s="6"/>
      <c r="C16" s="2"/>
      <c r="D16" s="2"/>
      <c r="E16" s="2"/>
      <c r="F16" s="2"/>
      <c r="G16" s="2"/>
      <c r="H16" s="2"/>
      <c r="I16" s="2"/>
      <c r="J16" s="2"/>
      <c r="K16" s="2"/>
      <c r="L16" s="112"/>
      <c r="M16" s="111"/>
      <c r="N16" s="3"/>
    </row>
    <row r="17" spans="1:18" x14ac:dyDescent="0.25">
      <c r="A17" s="10"/>
      <c r="B17" s="2" t="s">
        <v>6</v>
      </c>
      <c r="C17" s="2"/>
      <c r="D17" s="2"/>
      <c r="E17" s="2"/>
      <c r="F17" s="11"/>
      <c r="G17" s="11"/>
      <c r="H17" s="11"/>
      <c r="I17" s="11"/>
      <c r="J17" s="11"/>
      <c r="K17" s="2"/>
      <c r="L17" s="113" t="s">
        <v>48</v>
      </c>
      <c r="M17" s="111"/>
      <c r="N17" s="3"/>
    </row>
    <row r="18" spans="1:18" x14ac:dyDescent="0.25">
      <c r="A18" s="10"/>
      <c r="B18" s="2" t="s">
        <v>7</v>
      </c>
      <c r="C18" s="2"/>
      <c r="D18" s="2"/>
      <c r="E18" s="2"/>
      <c r="F18" s="11"/>
      <c r="G18" s="11"/>
      <c r="H18" s="11"/>
      <c r="I18" s="11"/>
      <c r="J18" s="11"/>
      <c r="K18" s="2"/>
      <c r="L18" s="113" t="s">
        <v>48</v>
      </c>
      <c r="M18" s="111"/>
      <c r="N18" s="3"/>
    </row>
    <row r="19" spans="1:18" x14ac:dyDescent="0.25">
      <c r="A19" s="339"/>
      <c r="B19" s="2" t="s">
        <v>468</v>
      </c>
      <c r="C19" s="2"/>
      <c r="D19" s="2"/>
      <c r="E19" s="2"/>
      <c r="F19" s="55"/>
      <c r="G19" s="56"/>
      <c r="H19" s="55"/>
      <c r="I19" s="55"/>
      <c r="J19" s="56"/>
      <c r="K19" s="2"/>
      <c r="L19" s="114" t="s">
        <v>488</v>
      </c>
      <c r="M19" s="111"/>
      <c r="N19" s="3"/>
    </row>
    <row r="20" spans="1:18" x14ac:dyDescent="0.25">
      <c r="A20" s="339"/>
      <c r="B20" s="2" t="s">
        <v>469</v>
      </c>
      <c r="C20" s="2"/>
      <c r="D20" s="2"/>
      <c r="E20" s="2"/>
      <c r="F20" s="22"/>
      <c r="G20" s="22"/>
      <c r="H20" s="22"/>
      <c r="I20" s="22"/>
      <c r="J20" s="22"/>
      <c r="K20" s="12"/>
      <c r="L20" s="115" t="s">
        <v>48</v>
      </c>
      <c r="M20" s="116"/>
      <c r="N20" s="117"/>
    </row>
    <row r="21" spans="1:18" x14ac:dyDescent="0.25">
      <c r="A21" s="339"/>
      <c r="B21" s="2" t="s">
        <v>470</v>
      </c>
      <c r="C21" s="2"/>
      <c r="D21" s="2"/>
      <c r="E21" s="2"/>
      <c r="F21" s="56"/>
      <c r="G21" s="56"/>
      <c r="H21" s="56"/>
      <c r="I21" s="56"/>
      <c r="J21" s="56"/>
      <c r="K21" s="118">
        <f>SUM(F21:J21)</f>
        <v>0</v>
      </c>
      <c r="L21" s="112" t="s">
        <v>9</v>
      </c>
      <c r="M21" s="111"/>
      <c r="N21" s="3"/>
    </row>
    <row r="22" spans="1:18" x14ac:dyDescent="0.25">
      <c r="A22" s="5"/>
      <c r="B22" s="2"/>
      <c r="C22" s="2"/>
      <c r="D22" s="2"/>
      <c r="E22" s="2"/>
      <c r="F22" s="119"/>
      <c r="G22" s="119"/>
      <c r="H22" s="13"/>
      <c r="I22" s="13"/>
      <c r="J22" s="13"/>
      <c r="K22" s="111"/>
      <c r="L22" s="112"/>
      <c r="M22" s="111"/>
      <c r="N22" s="3"/>
    </row>
    <row r="23" spans="1:18" x14ac:dyDescent="0.25">
      <c r="A23" s="5"/>
      <c r="B23" s="2"/>
      <c r="C23" s="2"/>
      <c r="D23" s="2"/>
      <c r="E23" s="2"/>
      <c r="F23" s="13"/>
      <c r="G23" s="13"/>
      <c r="H23" s="13"/>
      <c r="I23" s="13"/>
      <c r="J23" s="13"/>
      <c r="K23" s="171"/>
      <c r="L23" s="147"/>
      <c r="M23" s="171"/>
      <c r="N23" s="3"/>
    </row>
    <row r="24" spans="1:18" ht="18.75" x14ac:dyDescent="0.3">
      <c r="A24" s="8" t="s">
        <v>13</v>
      </c>
      <c r="B24" s="196" t="s">
        <v>14</v>
      </c>
      <c r="C24" s="14"/>
      <c r="D24" s="14"/>
      <c r="E24" s="14"/>
      <c r="F24" s="302">
        <f>$E$25*F123</f>
        <v>0</v>
      </c>
      <c r="G24" s="302">
        <f t="shared" ref="G24:J24" si="1">$E$25*G123</f>
        <v>0</v>
      </c>
      <c r="H24" s="197">
        <f t="shared" si="1"/>
        <v>0</v>
      </c>
      <c r="I24" s="197">
        <f t="shared" si="1"/>
        <v>0</v>
      </c>
      <c r="J24" s="197">
        <f t="shared" si="1"/>
        <v>0</v>
      </c>
      <c r="K24" s="199">
        <f>SUM(F24:J24)</f>
        <v>0</v>
      </c>
      <c r="L24" s="200" t="s">
        <v>2</v>
      </c>
      <c r="M24" s="14"/>
      <c r="N24" s="303" t="s">
        <v>16</v>
      </c>
    </row>
    <row r="25" spans="1:18" x14ac:dyDescent="0.25">
      <c r="A25" s="5"/>
      <c r="B25" s="2"/>
      <c r="C25" s="2"/>
      <c r="D25" s="2" t="s">
        <v>15</v>
      </c>
      <c r="E25" s="63">
        <v>0.1</v>
      </c>
      <c r="F25" s="120"/>
      <c r="G25" s="120"/>
      <c r="H25" s="120"/>
      <c r="I25" s="120"/>
      <c r="J25" s="120"/>
      <c r="K25" s="2"/>
      <c r="L25" s="113"/>
      <c r="N25" s="121"/>
      <c r="R25" s="66"/>
    </row>
    <row r="26" spans="1:18" x14ac:dyDescent="0.25">
      <c r="A26" s="201"/>
      <c r="B26" s="2"/>
      <c r="C26" s="2"/>
      <c r="D26" s="2"/>
      <c r="E26" s="2"/>
      <c r="F26" s="2"/>
      <c r="G26" s="2"/>
      <c r="H26" s="2"/>
      <c r="I26" s="2"/>
      <c r="J26" s="2"/>
      <c r="K26" s="2"/>
      <c r="L26" s="112"/>
      <c r="M26" s="2"/>
      <c r="N26" s="3"/>
    </row>
    <row r="27" spans="1:18" ht="18.75" x14ac:dyDescent="0.3">
      <c r="A27" s="8" t="s">
        <v>17</v>
      </c>
      <c r="B27" s="196" t="s">
        <v>18</v>
      </c>
      <c r="C27" s="14"/>
      <c r="D27" s="14"/>
      <c r="E27" s="14"/>
      <c r="F27" s="202">
        <f>F29+F36</f>
        <v>0</v>
      </c>
      <c r="G27" s="202">
        <f>G29+G36</f>
        <v>0</v>
      </c>
      <c r="H27" s="202">
        <f>H29+H36</f>
        <v>0</v>
      </c>
      <c r="I27" s="202">
        <f>I29+I36</f>
        <v>0</v>
      </c>
      <c r="J27" s="202">
        <f>J29+J36</f>
        <v>0</v>
      </c>
      <c r="K27" s="199" cm="1">
        <f t="array" ref="K27">SUM(IF(ISNUMBER(F27:J27),F27:J27))</f>
        <v>0</v>
      </c>
      <c r="L27" s="200" t="s">
        <v>2</v>
      </c>
      <c r="M27" s="14"/>
      <c r="N27" s="9"/>
    </row>
    <row r="28" spans="1:18" ht="18.75" x14ac:dyDescent="0.3">
      <c r="A28" s="16"/>
      <c r="B28" s="123"/>
      <c r="C28" s="2"/>
      <c r="D28" s="2"/>
      <c r="E28" s="2"/>
      <c r="F28" s="13"/>
      <c r="G28" s="13"/>
      <c r="H28" s="13"/>
      <c r="I28" s="13"/>
      <c r="J28" s="13"/>
      <c r="K28" s="111"/>
      <c r="L28" s="112"/>
      <c r="M28" s="111"/>
      <c r="N28" s="3"/>
    </row>
    <row r="29" spans="1:18" x14ac:dyDescent="0.25">
      <c r="A29" s="21" t="s">
        <v>19</v>
      </c>
      <c r="B29" s="124" t="s">
        <v>20</v>
      </c>
      <c r="C29" s="97"/>
      <c r="D29" s="97"/>
      <c r="E29" s="97"/>
      <c r="F29" s="125">
        <f>IF(F30="nein",0,F31*'Eingaben Hauptkanal'!F33*F32*'Faktoren Abwasser'!$B$6)</f>
        <v>0</v>
      </c>
      <c r="G29" s="125">
        <f>IF(G30="nein",0,G31*'Eingaben Hauptkanal'!G33*G32*'Faktoren Abwasser'!$B$6)</f>
        <v>0</v>
      </c>
      <c r="H29" s="125">
        <f>IF(H30="nein",0,H31*'Eingaben Hauptkanal'!H33*H32*'Faktoren Abwasser'!$B$6)</f>
        <v>0</v>
      </c>
      <c r="I29" s="125">
        <f>IF(I30="nein",0,I31*'Eingaben Hauptkanal'!I33*I32*'Faktoren Abwasser'!$B$6)</f>
        <v>0</v>
      </c>
      <c r="J29" s="125">
        <f>IF(J30="nein",0,J31*'Eingaben Hauptkanal'!J33*J32*'Faktoren Abwasser'!$B$6)</f>
        <v>0</v>
      </c>
      <c r="K29" s="126" cm="1">
        <f t="array" ref="K29">SUM(IF(ISNUMBER(F29:J29),F29:J29))</f>
        <v>0</v>
      </c>
      <c r="L29" s="127" t="s">
        <v>2</v>
      </c>
      <c r="M29" s="126"/>
      <c r="N29" s="108"/>
    </row>
    <row r="30" spans="1:18" x14ac:dyDescent="0.25">
      <c r="A30" s="5"/>
      <c r="B30" s="2" t="s">
        <v>21</v>
      </c>
      <c r="C30" s="2"/>
      <c r="D30" s="2"/>
      <c r="E30" s="2"/>
      <c r="F30" s="22"/>
      <c r="G30" s="22"/>
      <c r="H30" s="22"/>
      <c r="I30" s="22"/>
      <c r="J30" s="22"/>
      <c r="K30" s="2"/>
      <c r="L30" s="113" t="s">
        <v>48</v>
      </c>
      <c r="M30" s="111"/>
      <c r="N30" s="3"/>
    </row>
    <row r="31" spans="1:18" x14ac:dyDescent="0.25">
      <c r="A31" s="5"/>
      <c r="B31" s="2" t="s">
        <v>22</v>
      </c>
      <c r="C31" s="2"/>
      <c r="D31" s="2"/>
      <c r="E31" s="2"/>
      <c r="F31" s="55"/>
      <c r="G31" s="22"/>
      <c r="H31" s="11"/>
      <c r="I31" s="11"/>
      <c r="J31" s="11"/>
      <c r="K31" s="2"/>
      <c r="L31" s="112" t="s">
        <v>23</v>
      </c>
      <c r="M31" s="111"/>
      <c r="N31" s="3"/>
    </row>
    <row r="32" spans="1:18" x14ac:dyDescent="0.25">
      <c r="A32" s="5"/>
      <c r="B32" s="2" t="s">
        <v>24</v>
      </c>
      <c r="C32" s="2"/>
      <c r="D32" s="2"/>
      <c r="E32" s="2"/>
      <c r="F32" s="22"/>
      <c r="G32" s="22"/>
      <c r="H32" s="11"/>
      <c r="I32" s="11"/>
      <c r="J32" s="11"/>
      <c r="K32" s="2"/>
      <c r="L32" s="112" t="s">
        <v>25</v>
      </c>
      <c r="M32" s="111"/>
      <c r="N32" s="3"/>
    </row>
    <row r="33" spans="1:14" x14ac:dyDescent="0.25">
      <c r="A33" s="5"/>
      <c r="B33" s="2" t="s">
        <v>417</v>
      </c>
      <c r="C33" s="2"/>
      <c r="D33" s="2"/>
      <c r="E33" s="2"/>
      <c r="F33" s="248"/>
      <c r="G33" s="248"/>
      <c r="H33" s="248"/>
      <c r="I33" s="248"/>
      <c r="J33" s="248"/>
      <c r="K33" s="2"/>
      <c r="L33" s="112" t="s">
        <v>257</v>
      </c>
      <c r="M33" s="111"/>
      <c r="N33" s="3"/>
    </row>
    <row r="34" spans="1:14" x14ac:dyDescent="0.25">
      <c r="A34" s="5"/>
      <c r="B34" s="2"/>
      <c r="C34" s="2"/>
      <c r="D34" s="2"/>
      <c r="E34" s="2"/>
      <c r="F34" s="119"/>
      <c r="G34" s="13"/>
      <c r="H34" s="13"/>
      <c r="I34" s="13"/>
      <c r="J34" s="13"/>
      <c r="K34" s="2"/>
      <c r="L34" s="113"/>
      <c r="M34" s="111"/>
      <c r="N34" s="3"/>
    </row>
    <row r="35" spans="1:14" x14ac:dyDescent="0.25">
      <c r="A35" s="5"/>
      <c r="B35" s="2"/>
      <c r="C35" s="2"/>
      <c r="D35" s="2"/>
      <c r="E35" s="2"/>
      <c r="F35" s="13"/>
      <c r="G35" s="13"/>
      <c r="H35" s="13"/>
      <c r="I35" s="13"/>
      <c r="J35" s="13"/>
      <c r="K35" s="2"/>
      <c r="L35" s="113"/>
      <c r="M35" s="111"/>
      <c r="N35" s="3"/>
    </row>
    <row r="36" spans="1:14" x14ac:dyDescent="0.25">
      <c r="A36" s="21" t="s">
        <v>26</v>
      </c>
      <c r="B36" s="124" t="s">
        <v>27</v>
      </c>
      <c r="C36" s="97"/>
      <c r="D36" s="97"/>
      <c r="E36" s="97"/>
      <c r="F36" s="125">
        <f>IF(F37="nein",0,F38*'Eingaben Hauptkanal'!F40*F39*'Faktoren Abwasser'!$B$6)</f>
        <v>0</v>
      </c>
      <c r="G36" s="125">
        <f>IF(G37="nein",0,G38*'Eingaben Hauptkanal'!G40*G39*'Faktoren Abwasser'!$B$6)</f>
        <v>0</v>
      </c>
      <c r="H36" s="125">
        <f>IF(H37="nein",0,H38*'Eingaben Hauptkanal'!H40*H39*'Faktoren Abwasser'!$B$6)</f>
        <v>0</v>
      </c>
      <c r="I36" s="125">
        <f>IF(I37="nein",0,I38*'Eingaben Hauptkanal'!I40*I39*'Faktoren Abwasser'!$B$6)</f>
        <v>0</v>
      </c>
      <c r="J36" s="125">
        <f>IF(J37="nein",0,J38*'Eingaben Hauptkanal'!J40*J39*'Faktoren Abwasser'!$B$6)</f>
        <v>0</v>
      </c>
      <c r="K36" s="126" cm="1">
        <f t="array" ref="K36">SUM(IF(ISNUMBER(F36:J36),F36:J36))</f>
        <v>0</v>
      </c>
      <c r="L36" s="127" t="s">
        <v>2</v>
      </c>
      <c r="M36" s="126"/>
      <c r="N36" s="108"/>
    </row>
    <row r="37" spans="1:14" x14ac:dyDescent="0.25">
      <c r="A37" s="5"/>
      <c r="B37" s="2" t="s">
        <v>28</v>
      </c>
      <c r="C37" s="2"/>
      <c r="D37" s="2"/>
      <c r="E37" s="2"/>
      <c r="F37" s="11"/>
      <c r="G37" s="11"/>
      <c r="H37" s="11"/>
      <c r="I37" s="11"/>
      <c r="J37" s="11"/>
      <c r="K37" s="2"/>
      <c r="L37" s="113" t="s">
        <v>48</v>
      </c>
      <c r="M37" s="111"/>
      <c r="N37" s="3"/>
    </row>
    <row r="38" spans="1:14" x14ac:dyDescent="0.25">
      <c r="A38" s="5"/>
      <c r="B38" s="2" t="s">
        <v>22</v>
      </c>
      <c r="C38" s="2"/>
      <c r="D38" s="2"/>
      <c r="E38" s="2"/>
      <c r="F38" s="11"/>
      <c r="G38" s="11"/>
      <c r="H38" s="11"/>
      <c r="I38" s="11"/>
      <c r="J38" s="11"/>
      <c r="K38" s="2"/>
      <c r="L38" s="112" t="s">
        <v>23</v>
      </c>
      <c r="M38" s="111"/>
      <c r="N38" s="3"/>
    </row>
    <row r="39" spans="1:14" x14ac:dyDescent="0.25">
      <c r="A39" s="5"/>
      <c r="B39" s="2" t="s">
        <v>418</v>
      </c>
      <c r="C39" s="2"/>
      <c r="D39" s="2"/>
      <c r="E39" s="2"/>
      <c r="F39" s="22"/>
      <c r="G39" s="11"/>
      <c r="H39" s="11"/>
      <c r="I39" s="11"/>
      <c r="J39" s="11"/>
      <c r="K39" s="2"/>
      <c r="L39" s="112" t="s">
        <v>25</v>
      </c>
      <c r="M39" s="111"/>
      <c r="N39" s="3"/>
    </row>
    <row r="40" spans="1:14" x14ac:dyDescent="0.25">
      <c r="A40" s="5"/>
      <c r="B40" s="2" t="s">
        <v>417</v>
      </c>
      <c r="C40" s="2"/>
      <c r="D40" s="2"/>
      <c r="E40" s="2"/>
      <c r="F40" s="248"/>
      <c r="G40" s="248"/>
      <c r="H40" s="248"/>
      <c r="I40" s="248"/>
      <c r="J40" s="248"/>
      <c r="K40" s="2"/>
      <c r="L40" s="112" t="s">
        <v>257</v>
      </c>
      <c r="M40" s="111"/>
      <c r="N40" s="3"/>
    </row>
    <row r="41" spans="1:14" x14ac:dyDescent="0.25">
      <c r="A41" s="5"/>
      <c r="B41" s="2"/>
      <c r="C41" s="2"/>
      <c r="D41" s="2"/>
      <c r="E41" s="2"/>
      <c r="F41" s="13"/>
      <c r="G41" s="13"/>
      <c r="H41" s="13"/>
      <c r="I41" s="13"/>
      <c r="J41" s="13"/>
      <c r="K41" s="2"/>
      <c r="L41" s="113"/>
      <c r="M41" s="111"/>
      <c r="N41" s="3"/>
    </row>
    <row r="42" spans="1:14" ht="18.75" x14ac:dyDescent="0.3">
      <c r="A42" s="8" t="s">
        <v>29</v>
      </c>
      <c r="B42" s="196" t="s">
        <v>30</v>
      </c>
      <c r="C42" s="14"/>
      <c r="D42" s="14"/>
      <c r="E42" s="14"/>
      <c r="F42" s="203" t="e">
        <f>F65+F88</f>
        <v>#N/A</v>
      </c>
      <c r="G42" s="203" t="e">
        <f t="shared" ref="G42:J42" si="2">G65+G88</f>
        <v>#N/A</v>
      </c>
      <c r="H42" s="203" t="e">
        <f t="shared" si="2"/>
        <v>#N/A</v>
      </c>
      <c r="I42" s="203" t="e">
        <f t="shared" si="2"/>
        <v>#N/A</v>
      </c>
      <c r="J42" s="203" t="e">
        <f t="shared" si="2"/>
        <v>#N/A</v>
      </c>
      <c r="K42" s="199" cm="1">
        <f t="array" ref="K42">SUM(IF(ISNUMBER(F42:J42),F42:J42))</f>
        <v>0</v>
      </c>
      <c r="L42" s="200" t="s">
        <v>2</v>
      </c>
      <c r="M42" s="14"/>
      <c r="N42" s="9"/>
    </row>
    <row r="43" spans="1:14" x14ac:dyDescent="0.25">
      <c r="A43" s="10"/>
      <c r="B43" s="6"/>
      <c r="C43" s="2"/>
      <c r="D43" s="2"/>
      <c r="E43" s="2"/>
      <c r="F43" s="13"/>
      <c r="G43" s="13"/>
      <c r="H43" s="13"/>
      <c r="I43" s="13"/>
      <c r="J43" s="13"/>
      <c r="K43" s="13"/>
      <c r="L43" s="113"/>
      <c r="M43" s="111"/>
      <c r="N43" s="3"/>
    </row>
    <row r="44" spans="1:14" x14ac:dyDescent="0.25">
      <c r="A44" s="272" t="s">
        <v>31</v>
      </c>
      <c r="B44" s="128" t="s">
        <v>5</v>
      </c>
      <c r="C44" s="110"/>
      <c r="D44" s="110"/>
      <c r="E44" s="110"/>
      <c r="F44" s="128"/>
      <c r="G44" s="129"/>
      <c r="H44" s="129"/>
      <c r="I44" s="128"/>
      <c r="J44" s="128"/>
      <c r="K44" s="110"/>
      <c r="L44" s="130"/>
      <c r="M44" s="131"/>
      <c r="N44" s="17"/>
    </row>
    <row r="45" spans="1:14" x14ac:dyDescent="0.25">
      <c r="A45" s="272" t="s">
        <v>445</v>
      </c>
      <c r="B45" s="270" t="s">
        <v>444</v>
      </c>
      <c r="C45" s="110"/>
      <c r="D45" s="110"/>
      <c r="E45" s="110"/>
      <c r="F45" s="128"/>
      <c r="G45" s="129"/>
      <c r="H45" s="129"/>
      <c r="I45" s="128"/>
      <c r="J45" s="128"/>
      <c r="K45" s="110"/>
      <c r="L45" s="130"/>
      <c r="M45" s="131"/>
      <c r="N45" s="17"/>
    </row>
    <row r="46" spans="1:14" x14ac:dyDescent="0.25">
      <c r="A46" s="18"/>
      <c r="B46" s="132" t="s">
        <v>32</v>
      </c>
      <c r="C46" s="132"/>
      <c r="D46" s="132"/>
      <c r="E46" s="132"/>
      <c r="F46" s="133"/>
      <c r="G46" s="134"/>
      <c r="H46" s="134"/>
      <c r="I46" s="134"/>
      <c r="J46" s="134"/>
      <c r="K46" s="132"/>
      <c r="L46" s="135" t="s">
        <v>48</v>
      </c>
      <c r="M46" s="136"/>
      <c r="N46" s="3"/>
    </row>
    <row r="47" spans="1:14" x14ac:dyDescent="0.25">
      <c r="A47" s="5"/>
      <c r="B47" s="2" t="s">
        <v>33</v>
      </c>
      <c r="C47" s="2"/>
      <c r="D47" s="2"/>
      <c r="E47" s="2"/>
      <c r="F47" s="137"/>
      <c r="G47" s="11"/>
      <c r="H47" s="134"/>
      <c r="I47" s="11"/>
      <c r="J47" s="11"/>
      <c r="K47" s="2"/>
      <c r="L47" s="112" t="s">
        <v>9</v>
      </c>
      <c r="M47" s="111"/>
      <c r="N47" s="3"/>
    </row>
    <row r="48" spans="1:14" x14ac:dyDescent="0.25">
      <c r="A48" s="5"/>
      <c r="B48" s="2" t="s">
        <v>34</v>
      </c>
      <c r="C48" s="2"/>
      <c r="D48" s="2"/>
      <c r="E48" s="2"/>
      <c r="F48" s="11"/>
      <c r="G48" s="11"/>
      <c r="H48" s="11"/>
      <c r="I48" s="11"/>
      <c r="J48" s="11"/>
      <c r="K48" s="2"/>
      <c r="L48" s="112" t="s">
        <v>9</v>
      </c>
      <c r="M48" s="111"/>
      <c r="N48" s="3"/>
    </row>
    <row r="49" spans="1:14" x14ac:dyDescent="0.25">
      <c r="A49" s="5"/>
      <c r="B49" s="2" t="s">
        <v>35</v>
      </c>
      <c r="C49" s="2"/>
      <c r="D49" s="2"/>
      <c r="E49" s="2"/>
      <c r="F49" s="11"/>
      <c r="G49" s="11"/>
      <c r="H49" s="138"/>
      <c r="I49" s="11"/>
      <c r="J49" s="11"/>
      <c r="K49" s="2"/>
      <c r="L49" s="112" t="s">
        <v>9</v>
      </c>
      <c r="M49" s="111"/>
      <c r="N49" s="3"/>
    </row>
    <row r="50" spans="1:14" x14ac:dyDescent="0.25">
      <c r="A50" s="5"/>
      <c r="B50" s="2" t="s">
        <v>36</v>
      </c>
      <c r="C50" s="2"/>
      <c r="D50" s="2"/>
      <c r="E50" s="2"/>
      <c r="F50" s="11"/>
      <c r="G50" s="11"/>
      <c r="H50" s="137"/>
      <c r="I50" s="11"/>
      <c r="J50" s="11"/>
      <c r="K50" s="2"/>
      <c r="L50" s="112" t="s">
        <v>9</v>
      </c>
      <c r="M50" s="111"/>
      <c r="N50" s="3"/>
    </row>
    <row r="51" spans="1:14" x14ac:dyDescent="0.25">
      <c r="A51" s="5"/>
      <c r="B51" s="2" t="s">
        <v>37</v>
      </c>
      <c r="C51" s="2"/>
      <c r="D51" s="2"/>
      <c r="E51" s="2"/>
      <c r="F51" s="11"/>
      <c r="G51" s="11"/>
      <c r="H51" s="139"/>
      <c r="I51" s="140"/>
      <c r="J51" s="22"/>
      <c r="K51" s="2"/>
      <c r="L51" s="112" t="s">
        <v>9</v>
      </c>
      <c r="M51" s="111"/>
      <c r="N51" s="3"/>
    </row>
    <row r="52" spans="1:14" x14ac:dyDescent="0.25">
      <c r="A52" s="10"/>
      <c r="B52" s="2" t="s">
        <v>38</v>
      </c>
      <c r="C52" s="2"/>
      <c r="D52" s="2"/>
      <c r="E52" s="2"/>
      <c r="F52" s="11"/>
      <c r="G52" s="11"/>
      <c r="H52" s="141"/>
      <c r="I52" s="22"/>
      <c r="J52" s="22"/>
      <c r="K52" s="2"/>
      <c r="L52" s="112" t="s">
        <v>9</v>
      </c>
      <c r="M52" s="111"/>
      <c r="N52" s="3"/>
    </row>
    <row r="53" spans="1:14" x14ac:dyDescent="0.25">
      <c r="A53" s="10"/>
      <c r="B53" s="2" t="s">
        <v>39</v>
      </c>
      <c r="C53" s="2"/>
      <c r="D53" s="2"/>
      <c r="E53" s="2"/>
      <c r="F53" s="142"/>
      <c r="G53" s="11"/>
      <c r="H53" s="11"/>
      <c r="I53" s="11"/>
      <c r="J53" s="11"/>
      <c r="K53" s="2"/>
      <c r="L53" s="113"/>
      <c r="M53" s="111"/>
      <c r="N53" s="3"/>
    </row>
    <row r="54" spans="1:14" x14ac:dyDescent="0.25">
      <c r="A54" s="10"/>
      <c r="B54" s="2"/>
      <c r="C54" s="2"/>
      <c r="D54" s="2"/>
      <c r="E54" s="2"/>
      <c r="F54" s="271"/>
      <c r="G54" s="13"/>
      <c r="H54" s="13"/>
      <c r="I54" s="13"/>
      <c r="J54" s="13"/>
      <c r="K54" s="2"/>
      <c r="L54" s="113"/>
      <c r="M54" s="111"/>
      <c r="N54" s="3"/>
    </row>
    <row r="55" spans="1:14" x14ac:dyDescent="0.25">
      <c r="A55" s="10" t="s">
        <v>446</v>
      </c>
      <c r="B55" s="6" t="s">
        <v>517</v>
      </c>
      <c r="C55" s="2"/>
      <c r="D55" s="2"/>
      <c r="E55" s="2"/>
      <c r="F55" s="271"/>
      <c r="G55" s="13"/>
      <c r="H55" s="13"/>
      <c r="I55" s="13"/>
      <c r="J55" s="13"/>
      <c r="K55" s="2"/>
      <c r="L55" s="113"/>
      <c r="M55" s="111"/>
      <c r="N55" s="3"/>
    </row>
    <row r="56" spans="1:14" x14ac:dyDescent="0.25">
      <c r="A56" s="10"/>
      <c r="B56" s="132" t="s">
        <v>32</v>
      </c>
      <c r="C56" s="2"/>
      <c r="D56" s="2"/>
      <c r="E56" s="2"/>
      <c r="F56" s="133"/>
      <c r="G56" s="134"/>
      <c r="H56" s="134"/>
      <c r="I56" s="134"/>
      <c r="J56" s="134"/>
      <c r="K56" s="2"/>
      <c r="L56" s="135" t="s">
        <v>48</v>
      </c>
      <c r="M56" s="111"/>
      <c r="N56" s="3"/>
    </row>
    <row r="57" spans="1:14" x14ac:dyDescent="0.25">
      <c r="A57" s="10"/>
      <c r="B57" s="2" t="s">
        <v>33</v>
      </c>
      <c r="C57" s="2"/>
      <c r="D57" s="2"/>
      <c r="E57" s="2"/>
      <c r="F57" s="137"/>
      <c r="G57" s="11"/>
      <c r="H57" s="134"/>
      <c r="I57" s="11"/>
      <c r="J57" s="11"/>
      <c r="K57" s="2"/>
      <c r="L57" s="112" t="s">
        <v>9</v>
      </c>
      <c r="M57" s="111"/>
      <c r="N57" s="3"/>
    </row>
    <row r="58" spans="1:14" x14ac:dyDescent="0.25">
      <c r="A58" s="10"/>
      <c r="B58" s="2" t="s">
        <v>34</v>
      </c>
      <c r="C58" s="2"/>
      <c r="D58" s="2"/>
      <c r="E58" s="2"/>
      <c r="F58" s="11"/>
      <c r="G58" s="11"/>
      <c r="H58" s="11"/>
      <c r="I58" s="11"/>
      <c r="J58" s="11"/>
      <c r="K58" s="2"/>
      <c r="L58" s="112" t="s">
        <v>9</v>
      </c>
      <c r="M58" s="111"/>
      <c r="N58" s="3"/>
    </row>
    <row r="59" spans="1:14" x14ac:dyDescent="0.25">
      <c r="A59" s="10"/>
      <c r="B59" s="2" t="s">
        <v>35</v>
      </c>
      <c r="C59" s="2"/>
      <c r="D59" s="2"/>
      <c r="E59" s="2"/>
      <c r="F59" s="11"/>
      <c r="G59" s="11"/>
      <c r="H59" s="138"/>
      <c r="I59" s="11"/>
      <c r="J59" s="11"/>
      <c r="K59" s="2"/>
      <c r="L59" s="112" t="s">
        <v>9</v>
      </c>
      <c r="M59" s="111"/>
      <c r="N59" s="3"/>
    </row>
    <row r="60" spans="1:14" x14ac:dyDescent="0.25">
      <c r="A60" s="10"/>
      <c r="B60" s="2" t="s">
        <v>36</v>
      </c>
      <c r="C60" s="2"/>
      <c r="D60" s="2"/>
      <c r="E60" s="2"/>
      <c r="F60" s="11"/>
      <c r="G60" s="11"/>
      <c r="H60" s="137"/>
      <c r="I60" s="11"/>
      <c r="J60" s="11"/>
      <c r="K60" s="2"/>
      <c r="L60" s="112" t="s">
        <v>9</v>
      </c>
      <c r="M60" s="111"/>
      <c r="N60" s="3"/>
    </row>
    <row r="61" spans="1:14" x14ac:dyDescent="0.25">
      <c r="A61" s="10"/>
      <c r="B61" s="2" t="s">
        <v>37</v>
      </c>
      <c r="C61" s="2"/>
      <c r="D61" s="2"/>
      <c r="E61" s="2"/>
      <c r="F61" s="11"/>
      <c r="G61" s="11"/>
      <c r="H61" s="139"/>
      <c r="I61" s="140"/>
      <c r="J61" s="22"/>
      <c r="K61" s="2"/>
      <c r="L61" s="112" t="s">
        <v>9</v>
      </c>
      <c r="M61" s="111"/>
      <c r="N61" s="3"/>
    </row>
    <row r="62" spans="1:14" x14ac:dyDescent="0.25">
      <c r="A62" s="10"/>
      <c r="B62" s="2" t="s">
        <v>38</v>
      </c>
      <c r="C62" s="2"/>
      <c r="D62" s="2"/>
      <c r="E62" s="2"/>
      <c r="F62" s="11"/>
      <c r="G62" s="11"/>
      <c r="H62" s="141"/>
      <c r="I62" s="22"/>
      <c r="J62" s="22"/>
      <c r="K62" s="2"/>
      <c r="L62" s="112" t="s">
        <v>9</v>
      </c>
      <c r="M62" s="111"/>
      <c r="N62" s="3"/>
    </row>
    <row r="63" spans="1:14" x14ac:dyDescent="0.25">
      <c r="A63" s="10"/>
      <c r="B63" s="2" t="s">
        <v>39</v>
      </c>
      <c r="C63" s="2"/>
      <c r="D63" s="2"/>
      <c r="E63" s="2"/>
      <c r="F63" s="142"/>
      <c r="G63" s="11"/>
      <c r="H63" s="11"/>
      <c r="I63" s="11"/>
      <c r="J63" s="11"/>
      <c r="K63" s="2"/>
      <c r="L63" s="113"/>
      <c r="M63" s="111"/>
      <c r="N63" s="3"/>
    </row>
    <row r="64" spans="1:14" x14ac:dyDescent="0.25">
      <c r="A64" s="5"/>
      <c r="B64" s="2"/>
      <c r="C64" s="2"/>
      <c r="D64" s="2"/>
      <c r="E64" s="2"/>
      <c r="F64" s="13"/>
      <c r="G64" s="13"/>
      <c r="H64" s="13"/>
      <c r="I64" s="109"/>
      <c r="J64" s="109"/>
      <c r="K64" s="2"/>
      <c r="L64" s="113"/>
      <c r="M64" s="111"/>
      <c r="N64" s="3"/>
    </row>
    <row r="65" spans="1:14" x14ac:dyDescent="0.25">
      <c r="A65" s="21" t="s">
        <v>40</v>
      </c>
      <c r="B65" s="124" t="s">
        <v>41</v>
      </c>
      <c r="C65" s="97"/>
      <c r="D65" s="97"/>
      <c r="E65" s="97"/>
      <c r="F65" s="125" t="e">
        <f>F66+F78</f>
        <v>#N/A</v>
      </c>
      <c r="G65" s="125" t="e">
        <f t="shared" ref="G65:J65" si="3">G66+G78</f>
        <v>#N/A</v>
      </c>
      <c r="H65" s="125" t="e">
        <f t="shared" si="3"/>
        <v>#N/A</v>
      </c>
      <c r="I65" s="125" t="e">
        <f t="shared" si="3"/>
        <v>#N/A</v>
      </c>
      <c r="J65" s="125" t="e">
        <f t="shared" si="3"/>
        <v>#N/A</v>
      </c>
      <c r="K65" s="126" cm="1">
        <f t="array" ref="K65">SUM(IF(ISNUMBER(F65:J65),F65:J65))</f>
        <v>0</v>
      </c>
      <c r="L65" s="127" t="s">
        <v>2</v>
      </c>
      <c r="M65" s="126"/>
      <c r="N65" s="108"/>
    </row>
    <row r="66" spans="1:14" x14ac:dyDescent="0.25">
      <c r="A66" s="10" t="s">
        <v>50</v>
      </c>
      <c r="B66" s="6" t="s">
        <v>472</v>
      </c>
      <c r="C66" s="2"/>
      <c r="D66" s="2"/>
      <c r="E66" s="2"/>
      <c r="F66" s="158" t="b">
        <f>IF(F53='Dropdown Menüs'!$G$6,F67*F$47*'Faktoren Abwasser'!$B$179*'Faktoren Abwasser'!$B$178*'Faktoren Abwasser'!$B$6,IF(F53='Dropdown Menüs'!$G$7,F68*F$47*'Faktoren Abwasser'!$B$179*'Faktoren Abwasser'!$B$178*'Faktoren Abwasser'!$B$6))</f>
        <v>0</v>
      </c>
      <c r="G66" s="158" t="b">
        <f>IF(G53='Dropdown Menüs'!$G$6,G67*G$47*'Faktoren Abwasser'!$B$179*'Faktoren Abwasser'!$B$178*'Faktoren Abwasser'!$B$6,IF(G53='Dropdown Menüs'!$G$7,G68*G$47*'Faktoren Abwasser'!$B$179*'Faktoren Abwasser'!$B$178*'Faktoren Abwasser'!$B$6))</f>
        <v>0</v>
      </c>
      <c r="H66" s="158" t="b">
        <f>IF(H53='Dropdown Menüs'!$G$6,H67*H$47*'Faktoren Abwasser'!$B$179*'Faktoren Abwasser'!$B$178*'Faktoren Abwasser'!$B$6,IF(H53='Dropdown Menüs'!$G$7,H68*H$47*'Faktoren Abwasser'!$B$179*'Faktoren Abwasser'!$B$178*'Faktoren Abwasser'!$B$6))</f>
        <v>0</v>
      </c>
      <c r="I66" s="158" t="b">
        <f>IF(I53='Dropdown Menüs'!$G$6,I67*I$47*'Faktoren Abwasser'!$B$179*'Faktoren Abwasser'!$B$178*'Faktoren Abwasser'!$B$6,IF(I53='Dropdown Menüs'!$G$7,I68*I$47*'Faktoren Abwasser'!$B$179*'Faktoren Abwasser'!$B$178*'Faktoren Abwasser'!$B$6))</f>
        <v>0</v>
      </c>
      <c r="J66" s="158" t="b">
        <f>IF(J53='Dropdown Menüs'!$G$6,J67*J$47*'Faktoren Abwasser'!$B$179*'Faktoren Abwasser'!$B$178*'Faktoren Abwasser'!$B$6,IF(J53='Dropdown Menüs'!$G$7,J68*J$47*'Faktoren Abwasser'!$B$179*'Faktoren Abwasser'!$B$178*'Faktoren Abwasser'!$B$6))</f>
        <v>0</v>
      </c>
      <c r="K66" s="111">
        <f>SUM(F66:J66)</f>
        <v>0</v>
      </c>
      <c r="L66" s="112"/>
      <c r="M66" s="111"/>
      <c r="N66" s="3"/>
    </row>
    <row r="67" spans="1:14" x14ac:dyDescent="0.25">
      <c r="A67" s="10"/>
      <c r="B67" s="12" t="s">
        <v>42</v>
      </c>
      <c r="C67" s="2"/>
      <c r="D67" s="2"/>
      <c r="E67" s="2"/>
      <c r="F67" s="23"/>
      <c r="G67" s="11"/>
      <c r="H67" s="141"/>
      <c r="I67" s="22"/>
      <c r="J67" s="22"/>
      <c r="K67" s="2"/>
      <c r="L67" s="112" t="s">
        <v>43</v>
      </c>
      <c r="M67" s="111"/>
      <c r="N67" s="3"/>
    </row>
    <row r="68" spans="1:14" x14ac:dyDescent="0.25">
      <c r="A68" s="10"/>
      <c r="B68" s="12" t="s">
        <v>44</v>
      </c>
      <c r="C68" s="2"/>
      <c r="D68" s="2"/>
      <c r="E68" s="2"/>
      <c r="F68" s="23"/>
      <c r="G68" s="23"/>
      <c r="H68" s="22"/>
      <c r="I68" s="22"/>
      <c r="J68" s="22"/>
      <c r="K68" s="2"/>
      <c r="L68" s="112" t="s">
        <v>43</v>
      </c>
      <c r="M68" s="111"/>
      <c r="N68" s="3"/>
    </row>
    <row r="69" spans="1:14" x14ac:dyDescent="0.25">
      <c r="A69" s="5"/>
      <c r="B69" s="2"/>
      <c r="C69" s="2"/>
      <c r="D69" s="2"/>
      <c r="E69" s="2"/>
      <c r="F69" s="2"/>
      <c r="G69" s="2"/>
      <c r="H69" s="2"/>
      <c r="I69" s="2"/>
      <c r="J69" s="2"/>
      <c r="K69" s="2"/>
      <c r="L69" s="113"/>
      <c r="M69" s="111"/>
      <c r="N69" s="3"/>
    </row>
    <row r="70" spans="1:14" x14ac:dyDescent="0.25">
      <c r="A70" s="5"/>
      <c r="B70" s="143" t="s">
        <v>45</v>
      </c>
      <c r="C70" s="2"/>
      <c r="D70" s="2"/>
      <c r="E70" s="2"/>
      <c r="F70" s="13"/>
      <c r="G70" s="13"/>
      <c r="H70" s="109"/>
      <c r="I70" s="109"/>
      <c r="J70" s="109"/>
      <c r="K70" s="6"/>
      <c r="L70" s="113"/>
      <c r="M70" s="111"/>
      <c r="N70" s="3"/>
    </row>
    <row r="71" spans="1:14" x14ac:dyDescent="0.25">
      <c r="A71" s="5"/>
      <c r="B71" s="144" t="s">
        <v>46</v>
      </c>
      <c r="C71" s="2"/>
      <c r="D71" s="2"/>
      <c r="E71" s="2"/>
      <c r="F71" s="120" t="e">
        <f>F$47 * F$68 * INDEX('Faktoren Abwasser'!$B$114:$B$117, MATCH(F$46, 'Dropdown Menüs'!$F$6:$F$9, 0) ) / 1000</f>
        <v>#N/A</v>
      </c>
      <c r="G71" s="120" t="e">
        <f>G47 * G68 * INDEX('Faktoren Abwasser'!$B$114:$B$117, MATCH(G46, 'Dropdown Menüs'!$F$6:$F$9, 0) ) / 1000</f>
        <v>#N/A</v>
      </c>
      <c r="H71" s="120" t="e">
        <f>H47 * H68 * INDEX('Faktoren Abwasser'!$B$114:$B$117, MATCH(H46, 'Dropdown Menüs'!$F$6:$F$9, 0) ) / 1000</f>
        <v>#N/A</v>
      </c>
      <c r="I71" s="120" t="e">
        <f>I47 * I68 * INDEX('Faktoren Abwasser'!$B$114:$B$117, MATCH(I46, 'Dropdown Menüs'!$F$6:$F$9, 0) ) / 1000</f>
        <v>#N/A</v>
      </c>
      <c r="J71" s="120" t="e">
        <f>J47 * J68 * INDEX('Faktoren Abwasser'!$B$114:$B$117, MATCH(J46, 'Dropdown Menüs'!$F$6:$F$9, 0) ) / 1000</f>
        <v>#N/A</v>
      </c>
      <c r="K71" s="145" cm="1">
        <f t="array" ref="K71">SUM(IF(ISNUMBER(F71:J71),F71:J71))</f>
        <v>0</v>
      </c>
      <c r="L71" s="145" t="s">
        <v>47</v>
      </c>
      <c r="M71" s="111"/>
      <c r="N71" s="3"/>
    </row>
    <row r="72" spans="1:14" x14ac:dyDescent="0.25">
      <c r="A72" s="5"/>
      <c r="B72" s="144" t="s">
        <v>64</v>
      </c>
      <c r="C72" s="2"/>
      <c r="D72" s="2"/>
      <c r="E72" s="2"/>
      <c r="F72" s="120" t="b">
        <f>IF(F$53='Dropdown Menüs'!$G$6,F$48*F$67*'Faktoren Abwasser'!$B$118/1000,IF(F$53='Dropdown Menüs'!$G$7,(F$48*F$67*'Faktoren Abwasser'!$B$118/1000)+(F$48*(F$68-F$67)*'Faktoren Abwasser'!$B$118/1000*0.2)))</f>
        <v>0</v>
      </c>
      <c r="G72" s="120" t="b">
        <f>IF(G$53='Dropdown Menüs'!$G$6,G48*G$67*'Faktoren Abwasser'!$B$118/1000,IF(G$53='Dropdown Menüs'!$G$7,(G48*G$67*'Faktoren Abwasser'!$B$118/1000)+(G48*(G$68-G$67)*'Faktoren Abwasser'!$B$118/1000*0.2)))</f>
        <v>0</v>
      </c>
      <c r="H72" s="120" t="b">
        <f>IF(H$53='Dropdown Menüs'!$G$6,H48*H$67*'Faktoren Abwasser'!$B$118/1000,IF(H$53='Dropdown Menüs'!$G$7,(H48*H$67*'Faktoren Abwasser'!$B$118/1000)+(H48*(H$68-H$67)*'Faktoren Abwasser'!$B$118/1000*0.2)))</f>
        <v>0</v>
      </c>
      <c r="I72" s="120" t="b">
        <f>IF(I$53='Dropdown Menüs'!$G$6,I48*I$67*'Faktoren Abwasser'!$B$118/1000,IF(I$53='Dropdown Menüs'!$G$7,(I48*I$67*'Faktoren Abwasser'!$B$118/1000)+(I48*(I$68-I$67)*'Faktoren Abwasser'!$B$118/1000*0.2)))</f>
        <v>0</v>
      </c>
      <c r="J72" s="120" t="b">
        <f>IF(J$53='Dropdown Menüs'!$G$6,J48*J$67*'Faktoren Abwasser'!$B$118/1000,IF(J$53='Dropdown Menüs'!$G$7,(J48*J$67*'Faktoren Abwasser'!$B$118/1000)+(J48*(J$68-J$67)*'Faktoren Abwasser'!$B$118/1000*0.2)))</f>
        <v>0</v>
      </c>
      <c r="K72" s="145" cm="1">
        <f t="array" ref="K72">SUM(IF(ISNUMBER(F72:J72),F72:J72))</f>
        <v>0</v>
      </c>
      <c r="L72" s="145" t="s">
        <v>47</v>
      </c>
      <c r="M72" s="111"/>
      <c r="N72" s="3"/>
    </row>
    <row r="73" spans="1:14" x14ac:dyDescent="0.25">
      <c r="A73" s="5"/>
      <c r="B73" s="144" t="s">
        <v>65</v>
      </c>
      <c r="C73" s="2"/>
      <c r="D73" s="2"/>
      <c r="E73" s="2"/>
      <c r="F73" s="120" t="b">
        <f>IF(F$53='Dropdown Menüs'!$G$6,F$49*F$67*'Faktoren Abwasser'!$B$119/1000,IF(F$53='Dropdown Menüs'!$G$7,(F$49*F$67*'Faktoren Abwasser'!$B$119/1000)+(F$49*(F$68-F$67)*'Faktoren Abwasser'!$B$119/1000*0.2)))</f>
        <v>0</v>
      </c>
      <c r="G73" s="120" t="b">
        <f>IF(G$53='Dropdown Menüs'!$G$6,G49*G$67*'Faktoren Abwasser'!$B$119/1000,IF(G$53='Dropdown Menüs'!$G$7,(G49*G$67*'Faktoren Abwasser'!$B$119/1000)+(G49*(G$68-G$67)*'Faktoren Abwasser'!$B$119/1000*0.2)))</f>
        <v>0</v>
      </c>
      <c r="H73" s="120" t="b">
        <f>IF(H$53='Dropdown Menüs'!$G$6,H49*H$67*'Faktoren Abwasser'!$B$119/1000,IF(H$53='Dropdown Menüs'!$G$7,(H49*H$67*'Faktoren Abwasser'!$B$119/1000)+(H49*(H$68-H$67)*'Faktoren Abwasser'!$B$119/1000*0.2)))</f>
        <v>0</v>
      </c>
      <c r="I73" s="120" t="b">
        <f>IF(I$53='Dropdown Menüs'!$G$6,I49*I$67*'Faktoren Abwasser'!$B$119/1000,IF(I$53='Dropdown Menüs'!$G$7,(I49*I$67*'Faktoren Abwasser'!$B$119/1000)+(I49*(I$68-I$67)*'Faktoren Abwasser'!$B$119/1000*0.2)))</f>
        <v>0</v>
      </c>
      <c r="J73" s="120" t="b">
        <f>IF(J$53='Dropdown Menüs'!$G$6,J49*J$67*'Faktoren Abwasser'!$B$119/1000,IF(J$53='Dropdown Menüs'!$G$7,(J49*J$67*'Faktoren Abwasser'!$B$119/1000)+(J49*(J$68-J$67)*'Faktoren Abwasser'!$B$119/1000*0.2)))</f>
        <v>0</v>
      </c>
      <c r="K73" s="145" cm="1">
        <f t="array" ref="K73">SUM(IF(ISNUMBER(F73:J73),F73:J73))</f>
        <v>0</v>
      </c>
      <c r="L73" s="145" t="s">
        <v>47</v>
      </c>
      <c r="M73" s="111"/>
      <c r="N73" s="3"/>
    </row>
    <row r="74" spans="1:14" x14ac:dyDescent="0.25">
      <c r="A74" s="5"/>
      <c r="B74" s="144" t="s">
        <v>66</v>
      </c>
      <c r="C74" s="2"/>
      <c r="D74" s="2"/>
      <c r="E74" s="2"/>
      <c r="F74" s="120" t="b">
        <f>IF(F$53='Dropdown Menüs'!$G$6,F$50*F$67*'Faktoren Abwasser'!$B$120/1000,IF(F$53='Dropdown Menüs'!$G$7,(F$50*F$67*'Faktoren Abwasser'!$B$120/1000)+(F$50*(F$68-F$67)*'Faktoren Abwasser'!$B$120/1000*0.2)))</f>
        <v>0</v>
      </c>
      <c r="G74" s="120" t="b">
        <f>IF(G$53='Dropdown Menüs'!$G$6,G50*G$67*'Faktoren Abwasser'!$B$120/1000,IF(G$53='Dropdown Menüs'!$G$7,(G50*G$67*'Faktoren Abwasser'!$B$120/1000)+(G50*(G$68-G$67)*'Faktoren Abwasser'!$B$120/1000*0.2)))</f>
        <v>0</v>
      </c>
      <c r="H74" s="120" t="b">
        <f>IF(H$53='Dropdown Menüs'!$G$6,H50*H$67*'Faktoren Abwasser'!$B$120/1000,IF(H$53='Dropdown Menüs'!$G$7,(H50*H$67*'Faktoren Abwasser'!$B$120/1000)+(H50*(H$68-H$67)*'Faktoren Abwasser'!$B$120/1000*0.2)))</f>
        <v>0</v>
      </c>
      <c r="I74" s="120" t="b">
        <f>IF(I$53='Dropdown Menüs'!$G$6,I50*I$67*'Faktoren Abwasser'!$B$120/1000,IF(I$53='Dropdown Menüs'!$G$7,(I50*I$67*'Faktoren Abwasser'!$B$120/1000)+(I50*(I$68-I$67)*'Faktoren Abwasser'!$B$120/1000*0.2)))</f>
        <v>0</v>
      </c>
      <c r="J74" s="120" t="b">
        <f>IF(J$53='Dropdown Menüs'!$G$6,J50*J$67*'Faktoren Abwasser'!$B$120/1000,IF(J$53='Dropdown Menüs'!$G$7,(J50*J$67*'Faktoren Abwasser'!$B$120/1000)+(J50*(J$68-J$67)*'Faktoren Abwasser'!$B$120/1000*0.2)))</f>
        <v>0</v>
      </c>
      <c r="K74" s="145" cm="1">
        <f t="array" ref="K74">SUM(IF(ISNUMBER(F74:J74),F74:J74))</f>
        <v>0</v>
      </c>
      <c r="L74" s="145" t="s">
        <v>47</v>
      </c>
      <c r="M74" s="111"/>
      <c r="N74" s="3"/>
    </row>
    <row r="75" spans="1:14" x14ac:dyDescent="0.25">
      <c r="A75" s="5"/>
      <c r="B75" s="144" t="s">
        <v>54</v>
      </c>
      <c r="C75" s="2"/>
      <c r="D75" s="2"/>
      <c r="E75" s="2"/>
      <c r="F75" s="120" t="b">
        <f>IF(F$53='Dropdown Menüs'!$G$6,F$51*F$67*'Faktoren Abwasser'!$B$121/1000,IF(F$53='Dropdown Menüs'!$G$7,(F$51*F$67*'Faktoren Abwasser'!$B$121/1000)+(F$51*(F$68-F$67)*'Faktoren Abwasser'!$B$121/1000*0.2)))</f>
        <v>0</v>
      </c>
      <c r="G75" s="120" t="b">
        <f>IF(G$53='Dropdown Menüs'!$G$6,G51*G$67*'Faktoren Abwasser'!$B$121/1000,IF(G$53='Dropdown Menüs'!$G$7,(G51*G$67*'Faktoren Abwasser'!$B$121/1000)+(G51*(G$68-G$67)*'Faktoren Abwasser'!$B$121/1000*0.2)))</f>
        <v>0</v>
      </c>
      <c r="H75" s="120" t="b">
        <f>IF(H$53='Dropdown Menüs'!$G$6,H51*H$67*'Faktoren Abwasser'!$B$121/1000,IF(H$53='Dropdown Menüs'!$G$7,(H51*H$67*'Faktoren Abwasser'!$B$121/1000)+(H51*(H$68-H$67)*'Faktoren Abwasser'!$B$121/1000*0.2)))</f>
        <v>0</v>
      </c>
      <c r="I75" s="120" t="b">
        <f>IF(I$53='Dropdown Menüs'!$G$6,I51*I$67*'Faktoren Abwasser'!$B$121/1000,IF(I$53='Dropdown Menüs'!$G$7,(I51*I$67*'Faktoren Abwasser'!$B$121/1000)+(I51*(I$68-I$67)*'Faktoren Abwasser'!$B$121/1000*0.2)))</f>
        <v>0</v>
      </c>
      <c r="J75" s="120" t="b">
        <f>IF(J$53='Dropdown Menüs'!$G$6,J51*J$67*'Faktoren Abwasser'!$B$121/1000,IF(J$53='Dropdown Menüs'!$G$7,(J51*J$67*'Faktoren Abwasser'!$B$121/1000)+(J51*(J$68-J$67)*'Faktoren Abwasser'!$B$121/1000*0.2)))</f>
        <v>0</v>
      </c>
      <c r="K75" s="145" cm="1">
        <f t="array" ref="K75">SUM(IF(ISNUMBER(F75:J75),F75:J75))</f>
        <v>0</v>
      </c>
      <c r="L75" s="145" t="s">
        <v>47</v>
      </c>
      <c r="M75" s="111"/>
      <c r="N75" s="3"/>
    </row>
    <row r="76" spans="1:14" x14ac:dyDescent="0.25">
      <c r="A76" s="5"/>
      <c r="B76" s="144" t="s">
        <v>55</v>
      </c>
      <c r="C76" s="2"/>
      <c r="D76" s="2"/>
      <c r="E76" s="2"/>
      <c r="F76" s="120" t="b">
        <f>IF(F$53='Dropdown Menüs'!$G$6,F$52*F$67*'Faktoren Abwasser'!$B$122/1000,IF(F$53='Dropdown Menüs'!$G$7,(F$52*F$67*'Faktoren Abwasser'!$B$122/1000)+(F$52*(F$68-F$67)*'Faktoren Abwasser'!$B$122/1000*0.2)))</f>
        <v>0</v>
      </c>
      <c r="G76" s="120" t="b">
        <f>IF(G$53='Dropdown Menüs'!$G$6,G52*G$67*'Faktoren Abwasser'!$B$122/1000,IF(G$53='Dropdown Menüs'!$G$7,(G52*G$67*'Faktoren Abwasser'!$B$122/1000)+(G52*(G$68-G$67)*'Faktoren Abwasser'!$B$122/1000*0.2)))</f>
        <v>0</v>
      </c>
      <c r="H76" s="120" t="b">
        <f>IF(H$53='Dropdown Menüs'!$G$6,H52*H$67*'Faktoren Abwasser'!$B$122/1000,IF(H$53='Dropdown Menüs'!$G$7,(H52*H$67*'Faktoren Abwasser'!$B$122/1000)+(H52*(H$68-H$67)*'Faktoren Abwasser'!$B$122/1000*0.2)))</f>
        <v>0</v>
      </c>
      <c r="I76" s="120" t="b">
        <f>IF(I$53='Dropdown Menüs'!$G$6,I52*I$67*'Faktoren Abwasser'!$B$122/1000,IF(I$53='Dropdown Menüs'!$G$7,(I52*I$67*'Faktoren Abwasser'!$B$122/1000)+(I52*(I$68-I$67)*'Faktoren Abwasser'!$B$122/1000*0.2)))</f>
        <v>0</v>
      </c>
      <c r="J76" s="120" t="b">
        <f>IF(J$53='Dropdown Menüs'!$G$6,J52*J$67*'Faktoren Abwasser'!$B$122/1000,IF(J$53='Dropdown Menüs'!$G$7,(J52*J$67*'Faktoren Abwasser'!$B$122/1000)+(J52*(J$68-J$67)*'Faktoren Abwasser'!$B$122/1000*0.2)))</f>
        <v>0</v>
      </c>
      <c r="K76" s="145" cm="1">
        <f t="array" ref="K76">SUM(IF(ISNUMBER(F76:J76),F76:J76))</f>
        <v>0</v>
      </c>
      <c r="L76" s="145" t="s">
        <v>47</v>
      </c>
      <c r="M76" s="111"/>
      <c r="N76" s="3"/>
    </row>
    <row r="77" spans="1:14" x14ac:dyDescent="0.25">
      <c r="A77" s="5"/>
      <c r="B77" s="2"/>
      <c r="C77" s="2"/>
      <c r="D77" s="2"/>
      <c r="E77" s="2"/>
      <c r="F77" s="2"/>
      <c r="G77" s="2"/>
      <c r="H77" s="2"/>
      <c r="I77" s="2"/>
      <c r="J77" s="2"/>
      <c r="K77" s="2"/>
      <c r="L77" s="113"/>
      <c r="M77" s="111"/>
      <c r="N77" s="3"/>
    </row>
    <row r="78" spans="1:14" x14ac:dyDescent="0.25">
      <c r="A78" s="10" t="s">
        <v>56</v>
      </c>
      <c r="B78" s="6" t="s">
        <v>51</v>
      </c>
      <c r="C78" s="2"/>
      <c r="D78" s="2"/>
      <c r="E78" s="2"/>
      <c r="F78" s="61" t="e">
        <f>SUM(F80:F85)</f>
        <v>#N/A</v>
      </c>
      <c r="G78" s="61" t="e">
        <f t="shared" ref="G78:J78" si="4">SUM(G80:G85)</f>
        <v>#N/A</v>
      </c>
      <c r="H78" s="61" t="e">
        <f t="shared" si="4"/>
        <v>#N/A</v>
      </c>
      <c r="I78" s="61" t="e">
        <f t="shared" si="4"/>
        <v>#N/A</v>
      </c>
      <c r="J78" s="61" t="e">
        <f t="shared" si="4"/>
        <v>#N/A</v>
      </c>
      <c r="K78" s="111" cm="1">
        <f t="array" ref="K78">SUM(IF(ISNUMBER(F78:J78),F78:J78))</f>
        <v>0</v>
      </c>
      <c r="L78" s="112" t="s">
        <v>2</v>
      </c>
      <c r="M78" s="111"/>
      <c r="N78" s="3"/>
    </row>
    <row r="79" spans="1:14" x14ac:dyDescent="0.25">
      <c r="A79" s="5"/>
      <c r="B79" s="2" t="s">
        <v>52</v>
      </c>
      <c r="C79" s="2"/>
      <c r="D79" s="2"/>
      <c r="E79" s="2"/>
      <c r="F79" s="22"/>
      <c r="G79" s="22"/>
      <c r="H79" s="11"/>
      <c r="I79" s="11"/>
      <c r="J79" s="11"/>
      <c r="K79" s="2"/>
      <c r="L79" s="112" t="s">
        <v>53</v>
      </c>
      <c r="M79" s="2"/>
      <c r="N79" s="3"/>
    </row>
    <row r="80" spans="1:14" x14ac:dyDescent="0.25">
      <c r="A80" s="5"/>
      <c r="B80" s="2" t="str">
        <f>B71</f>
        <v>Deckschicht</v>
      </c>
      <c r="C80" s="2"/>
      <c r="D80" s="2"/>
      <c r="E80" s="2"/>
      <c r="F80" s="120" t="e">
        <f>F71*F$79*'Faktoren Abwasser'!$B$155</f>
        <v>#N/A</v>
      </c>
      <c r="G80" s="120" t="e">
        <f>G71*G$79*'Faktoren Abwasser'!$B$155</f>
        <v>#N/A</v>
      </c>
      <c r="H80" s="120" t="e">
        <f>H71*H$79*'Faktoren Abwasser'!$B$155</f>
        <v>#N/A</v>
      </c>
      <c r="I80" s="120" t="e">
        <f>I71*I$79*'Faktoren Abwasser'!$B$155</f>
        <v>#N/A</v>
      </c>
      <c r="J80" s="120" t="e">
        <f>J71*J$79*'Faktoren Abwasser'!$B$155</f>
        <v>#N/A</v>
      </c>
      <c r="K80" s="106" cm="1">
        <f t="array" ref="K80">SUM(IF(ISNUMBER(F80:J80),F80:J80))</f>
        <v>0</v>
      </c>
      <c r="L80" s="112" t="s">
        <v>2</v>
      </c>
      <c r="M80" s="111"/>
      <c r="N80" s="3"/>
    </row>
    <row r="81" spans="1:14" x14ac:dyDescent="0.25">
      <c r="A81" s="5"/>
      <c r="B81" s="2" t="str">
        <f>B72</f>
        <v>Pflasterbettung</v>
      </c>
      <c r="C81" s="2"/>
      <c r="D81" s="2"/>
      <c r="E81" s="2"/>
      <c r="F81" s="120">
        <f>F72*F$79*'Faktoren Abwasser'!$B$155</f>
        <v>0</v>
      </c>
      <c r="G81" s="120">
        <f>G72*G$79*'Faktoren Abwasser'!$B$155</f>
        <v>0</v>
      </c>
      <c r="H81" s="120">
        <f>H72*H$79*'Faktoren Abwasser'!$B$155</f>
        <v>0</v>
      </c>
      <c r="I81" s="120">
        <f>I72*I$79*'Faktoren Abwasser'!$B$155</f>
        <v>0</v>
      </c>
      <c r="J81" s="120">
        <f>J72*J$79*'Faktoren Abwasser'!$B$155</f>
        <v>0</v>
      </c>
      <c r="K81" s="106" cm="1">
        <f t="array" ref="K81">SUM(IF(ISNUMBER(F81:J81),F81:J81))</f>
        <v>0</v>
      </c>
      <c r="L81" s="112" t="s">
        <v>2</v>
      </c>
      <c r="M81" s="111"/>
      <c r="N81" s="3"/>
    </row>
    <row r="82" spans="1:14" x14ac:dyDescent="0.25">
      <c r="A82" s="5"/>
      <c r="B82" s="2" t="str">
        <f>B73</f>
        <v>Asphaltbinder</v>
      </c>
      <c r="C82" s="2"/>
      <c r="D82" s="2"/>
      <c r="E82" s="2"/>
      <c r="F82" s="120">
        <f>F73*F$79*'Faktoren Abwasser'!$B$155</f>
        <v>0</v>
      </c>
      <c r="G82" s="120">
        <f>G73*G$79*'Faktoren Abwasser'!$B$155</f>
        <v>0</v>
      </c>
      <c r="H82" s="120">
        <f>H73*H$79*'Faktoren Abwasser'!$B$155</f>
        <v>0</v>
      </c>
      <c r="I82" s="120">
        <f>I73*I$79*'Faktoren Abwasser'!$B$155</f>
        <v>0</v>
      </c>
      <c r="J82" s="120">
        <f>J73*J$79*'Faktoren Abwasser'!$B$155</f>
        <v>0</v>
      </c>
      <c r="K82" s="106" cm="1">
        <f t="array" ref="K82">SUM(IF(ISNUMBER(F82:J82),F82:J82))</f>
        <v>0</v>
      </c>
      <c r="L82" s="112" t="s">
        <v>2</v>
      </c>
      <c r="M82" s="111"/>
      <c r="N82" s="3"/>
    </row>
    <row r="83" spans="1:14" x14ac:dyDescent="0.25">
      <c r="A83" s="5"/>
      <c r="B83" s="2" t="str">
        <f>B74</f>
        <v>Asphalttragschicht</v>
      </c>
      <c r="C83" s="2"/>
      <c r="D83" s="2"/>
      <c r="E83" s="2"/>
      <c r="F83" s="120">
        <f>F74*F$79*'Faktoren Abwasser'!$B$155</f>
        <v>0</v>
      </c>
      <c r="G83" s="120">
        <f>G74*G$79*'Faktoren Abwasser'!$B$155</f>
        <v>0</v>
      </c>
      <c r="H83" s="120">
        <f>H74*H$79*'Faktoren Abwasser'!$B$155</f>
        <v>0</v>
      </c>
      <c r="I83" s="120">
        <f>I74*I$79*'Faktoren Abwasser'!$B$155</f>
        <v>0</v>
      </c>
      <c r="J83" s="120">
        <f>J74*J$79*'Faktoren Abwasser'!$B$155</f>
        <v>0</v>
      </c>
      <c r="K83" s="106" cm="1">
        <f t="array" ref="K83">SUM(IF(ISNUMBER(F83:J83),F83:J83))</f>
        <v>0</v>
      </c>
      <c r="L83" s="112" t="s">
        <v>2</v>
      </c>
      <c r="M83" s="111"/>
      <c r="N83" s="3"/>
    </row>
    <row r="84" spans="1:14" x14ac:dyDescent="0.25">
      <c r="A84" s="5"/>
      <c r="B84" s="2" t="s">
        <v>54</v>
      </c>
      <c r="C84" s="2"/>
      <c r="D84" s="2"/>
      <c r="E84" s="2"/>
      <c r="F84" s="120">
        <f>F75*F$79*'Faktoren Abwasser'!$B$155</f>
        <v>0</v>
      </c>
      <c r="G84" s="120">
        <f>G75*G$79*'Faktoren Abwasser'!$B$155</f>
        <v>0</v>
      </c>
      <c r="H84" s="120">
        <f>H75*H$79*'Faktoren Abwasser'!$B$155</f>
        <v>0</v>
      </c>
      <c r="I84" s="120">
        <f>I75*I$79*'Faktoren Abwasser'!$B$155</f>
        <v>0</v>
      </c>
      <c r="J84" s="120">
        <f>J75*J$79*'Faktoren Abwasser'!$B$155</f>
        <v>0</v>
      </c>
      <c r="K84" s="106" cm="1">
        <f t="array" ref="K84">SUM(IF(ISNUMBER(F84:J84),F84:J84))</f>
        <v>0</v>
      </c>
      <c r="L84" s="112" t="s">
        <v>2</v>
      </c>
      <c r="M84" s="111"/>
      <c r="N84" s="3"/>
    </row>
    <row r="85" spans="1:14" x14ac:dyDescent="0.25">
      <c r="A85" s="5"/>
      <c r="B85" s="2" t="s">
        <v>55</v>
      </c>
      <c r="C85" s="2"/>
      <c r="D85" s="2"/>
      <c r="E85" s="2"/>
      <c r="F85" s="120">
        <f>F76*F$79*'Faktoren Abwasser'!$B$155</f>
        <v>0</v>
      </c>
      <c r="G85" s="120">
        <f>G76*G$79*'Faktoren Abwasser'!$B$155</f>
        <v>0</v>
      </c>
      <c r="H85" s="120">
        <f>H76*H$79*'Faktoren Abwasser'!$B$155</f>
        <v>0</v>
      </c>
      <c r="I85" s="120">
        <f>I76*I$79*'Faktoren Abwasser'!$B$155</f>
        <v>0</v>
      </c>
      <c r="J85" s="120">
        <f>J76*J$79*'Faktoren Abwasser'!$B$155</f>
        <v>0</v>
      </c>
      <c r="K85" s="106" cm="1">
        <f t="array" ref="K85">SUM(IF(ISNUMBER(F85:J85),F85:J85))</f>
        <v>0</v>
      </c>
      <c r="L85" s="112" t="s">
        <v>2</v>
      </c>
      <c r="M85" s="111"/>
      <c r="N85" s="3"/>
    </row>
    <row r="86" spans="1:14" x14ac:dyDescent="0.25">
      <c r="A86" s="5"/>
      <c r="B86" s="2"/>
      <c r="C86" s="2"/>
      <c r="D86" s="2"/>
      <c r="E86" s="2"/>
      <c r="F86" s="13"/>
      <c r="G86" s="13"/>
      <c r="H86" s="109"/>
      <c r="I86" s="109"/>
      <c r="J86" s="109"/>
      <c r="K86" s="2"/>
      <c r="L86" s="113"/>
      <c r="M86" s="2"/>
      <c r="N86" s="3"/>
    </row>
    <row r="87" spans="1:14" x14ac:dyDescent="0.25">
      <c r="A87" s="5"/>
      <c r="B87" s="2"/>
      <c r="C87" s="2"/>
      <c r="D87" s="2"/>
      <c r="E87" s="2"/>
      <c r="F87" s="13"/>
      <c r="G87" s="13"/>
      <c r="H87" s="109"/>
      <c r="I87" s="109"/>
      <c r="J87" s="109"/>
      <c r="K87" s="2"/>
      <c r="L87" s="113"/>
      <c r="M87" s="2"/>
      <c r="N87" s="3"/>
    </row>
    <row r="88" spans="1:14" x14ac:dyDescent="0.25">
      <c r="A88" s="21" t="s">
        <v>473</v>
      </c>
      <c r="B88" s="124" t="s">
        <v>57</v>
      </c>
      <c r="C88" s="97"/>
      <c r="D88" s="97"/>
      <c r="E88" s="97"/>
      <c r="F88" s="152" t="e">
        <f>F97+F106+F115</f>
        <v>#N/A</v>
      </c>
      <c r="G88" s="152" t="e">
        <f t="shared" ref="G88:I88" si="5">G97+G106+G115</f>
        <v>#N/A</v>
      </c>
      <c r="H88" s="152" t="e">
        <f t="shared" si="5"/>
        <v>#N/A</v>
      </c>
      <c r="I88" s="152" t="e">
        <f t="shared" si="5"/>
        <v>#N/A</v>
      </c>
      <c r="J88" s="153" t="e">
        <f>J97+J106+J115</f>
        <v>#N/A</v>
      </c>
      <c r="K88" s="126">
        <f>K97+K106+K115</f>
        <v>0</v>
      </c>
      <c r="L88" s="127" t="s">
        <v>2</v>
      </c>
      <c r="M88" s="111"/>
      <c r="N88" s="3"/>
    </row>
    <row r="89" spans="1:14" x14ac:dyDescent="0.25">
      <c r="A89" s="5"/>
      <c r="B89" s="143" t="s">
        <v>58</v>
      </c>
      <c r="C89" s="2"/>
      <c r="D89" s="2"/>
      <c r="E89" s="2"/>
      <c r="F89" s="13"/>
      <c r="G89" s="13"/>
      <c r="H89" s="109"/>
      <c r="I89" s="109"/>
      <c r="J89" s="109"/>
      <c r="K89" s="6"/>
      <c r="L89" s="113"/>
      <c r="M89" s="2"/>
      <c r="N89" s="3"/>
    </row>
    <row r="90" spans="1:14" x14ac:dyDescent="0.25">
      <c r="A90" s="5"/>
      <c r="B90" s="144" t="str">
        <f>B80</f>
        <v>Deckschicht</v>
      </c>
      <c r="C90" s="2"/>
      <c r="D90" s="2"/>
      <c r="E90" s="2"/>
      <c r="F90" s="120" t="e">
        <f>F$57 * F$68 * INDEX('Faktoren Abwasser'!$B$114:$B$117, MATCH(F$56, 'Dropdown Menüs'!$F$6:$F$9, 0) ) / 1000</f>
        <v>#N/A</v>
      </c>
      <c r="G90" s="120" t="e">
        <f>G$57 * G$68 * INDEX('Faktoren Abwasser'!$B$114:$B$117, MATCH(G$56, 'Dropdown Menüs'!$F$6:$F$9, 0) ) / 1000</f>
        <v>#N/A</v>
      </c>
      <c r="H90" s="120" t="e">
        <f>H$57 * H$68 * INDEX('Faktoren Abwasser'!$B$114:$B$117, MATCH(H$56, 'Dropdown Menüs'!$F$6:$F$9, 0) ) / 1000</f>
        <v>#N/A</v>
      </c>
      <c r="I90" s="120" t="e">
        <f>I$57 * I$68 * INDEX('Faktoren Abwasser'!$B$114:$B$117, MATCH(I$56, 'Dropdown Menüs'!$F$6:$F$9, 0) ) / 1000</f>
        <v>#N/A</v>
      </c>
      <c r="J90" s="120" t="e">
        <f>J$57 * J$68 * INDEX('Faktoren Abwasser'!$B$114:$B$117, MATCH(J$56, 'Dropdown Menüs'!$F$6:$F$9, 0) ) / 1000</f>
        <v>#N/A</v>
      </c>
      <c r="K90" s="146" cm="1">
        <f t="array" ref="K90">SUM(IF(ISNUMBER(F90:J90),F90:J90))</f>
        <v>0</v>
      </c>
      <c r="L90" s="147" t="s">
        <v>47</v>
      </c>
      <c r="M90" s="2"/>
      <c r="N90" s="3"/>
    </row>
    <row r="91" spans="1:14" x14ac:dyDescent="0.25">
      <c r="A91" s="5"/>
      <c r="B91" s="144" t="str">
        <f>B81</f>
        <v>Pflasterbettung</v>
      </c>
      <c r="C91" s="2"/>
      <c r="D91" s="2"/>
      <c r="E91" s="2"/>
      <c r="F91" s="120" t="b">
        <f>IF(F$63='Dropdown Menüs'!$G$6,F$58*F$67*'Faktoren Abwasser'!$B$118/1000,IF(F$63='Dropdown Menüs'!$G$7,(F$58*F$67*'Faktoren Abwasser'!$B$118/1000)+(F$58*(F$68-F$67)*'Faktoren Abwasser'!$B$118/1000*0.2)))</f>
        <v>0</v>
      </c>
      <c r="G91" s="120" t="b">
        <f>IF(G$63='Dropdown Menüs'!$G$6,G$58*G$67*'Faktoren Abwasser'!$B$118/1000,IF(G$63='Dropdown Menüs'!$G$7,(G$58*G$67*'Faktoren Abwasser'!$B$118/1000)+(G$58*(G$68-G$67)*'Faktoren Abwasser'!$B$118/1000*0.2)))</f>
        <v>0</v>
      </c>
      <c r="H91" s="120" t="b">
        <f>IF(H$63='Dropdown Menüs'!$G$6,H$58*H$67*'Faktoren Abwasser'!$B$118/1000,IF(H$63='Dropdown Menüs'!$G$7,(H$58*H$67*'Faktoren Abwasser'!$B$118/1000)+(H$58*(H$68-H$67)*'Faktoren Abwasser'!$B$118/1000*0.2)))</f>
        <v>0</v>
      </c>
      <c r="I91" s="120" t="b">
        <f>IF(I$63='Dropdown Menüs'!$G$6,I$58*I$67*'Faktoren Abwasser'!$B$118/1000,IF(I$63='Dropdown Menüs'!$G$7,(I$58*I$67*'Faktoren Abwasser'!$B$118/1000)+(I$58*(I$68-I$67)*'Faktoren Abwasser'!$B$118/1000*0.2)))</f>
        <v>0</v>
      </c>
      <c r="J91" s="120" t="b">
        <f>IF(J$63='Dropdown Menüs'!$G$6,J$58*J$67*'Faktoren Abwasser'!$B$118/1000,IF(J$63='Dropdown Menüs'!$G$7,(J$58*J$67*'Faktoren Abwasser'!$B$118/1000)+(J$58*(J$68-J$67)*'Faktoren Abwasser'!$B$118/1000*0.2)))</f>
        <v>0</v>
      </c>
      <c r="K91" s="146" cm="1">
        <f t="array" ref="K91">SUM(IF(ISNUMBER(F91:J91),F91:J91))</f>
        <v>0</v>
      </c>
      <c r="L91" s="147" t="s">
        <v>47</v>
      </c>
      <c r="M91" s="2"/>
      <c r="N91" s="3"/>
    </row>
    <row r="92" spans="1:14" x14ac:dyDescent="0.25">
      <c r="A92" s="5"/>
      <c r="B92" s="144" t="str">
        <f>B82</f>
        <v>Asphaltbinder</v>
      </c>
      <c r="C92" s="2"/>
      <c r="D92" s="2"/>
      <c r="E92" s="2"/>
      <c r="F92" s="120" t="b">
        <f>IF(F$63='Dropdown Menüs'!$G$6,F$59*F$67*'Faktoren Abwasser'!$B$119/1000,IF(F$63='Dropdown Menüs'!$G$7,(F$59*F$67*'Faktoren Abwasser'!$B$119/1000)+(F$59*(F$68-F$67)*'Faktoren Abwasser'!$B$119/1000*0.2)))</f>
        <v>0</v>
      </c>
      <c r="G92" s="120" t="b">
        <f>IF(G$63='Dropdown Menüs'!$G$6,G$59*G$67*'Faktoren Abwasser'!$B$119/1000,IF(G$63='Dropdown Menüs'!$G$7,(G$59*G$67*'Faktoren Abwasser'!$B$119/1000)+(G$59*(G$68-G$67)*'Faktoren Abwasser'!$B$119/1000*0.2)))</f>
        <v>0</v>
      </c>
      <c r="H92" s="120" t="b">
        <f>IF(H$63='Dropdown Menüs'!$G$6,H$59*H$67*'Faktoren Abwasser'!$B$119/1000,IF(H$63='Dropdown Menüs'!$G$7,(H$59*H$67*'Faktoren Abwasser'!$B$119/1000)+(H$59*(H$68-H$67)*'Faktoren Abwasser'!$B$119/1000*0.2)))</f>
        <v>0</v>
      </c>
      <c r="I92" s="120" t="b">
        <f>IF(I$63='Dropdown Menüs'!$G$6,I$59*I$67*'Faktoren Abwasser'!$B$119/1000,IF(I$63='Dropdown Menüs'!$G$7,(I$59*I$67*'Faktoren Abwasser'!$B$119/1000)+(I$59*(I$68-I$67)*'Faktoren Abwasser'!$B$119/1000*0.2)))</f>
        <v>0</v>
      </c>
      <c r="J92" s="120" t="b">
        <f>IF(J$63='Dropdown Menüs'!$G$6,J$59*J$67*'Faktoren Abwasser'!$B$119/1000,IF(J$63='Dropdown Menüs'!$G$7,(J$59*J$67*'Faktoren Abwasser'!$B$119/1000)+(J$59*(J$68-J$67)*'Faktoren Abwasser'!$B$119/1000*0.2)))</f>
        <v>0</v>
      </c>
      <c r="K92" s="146" cm="1">
        <f t="array" ref="K92">SUM(IF(ISNUMBER(F92:J92),F92:J92))</f>
        <v>0</v>
      </c>
      <c r="L92" s="147" t="s">
        <v>47</v>
      </c>
      <c r="M92" s="2"/>
      <c r="N92" s="3"/>
    </row>
    <row r="93" spans="1:14" x14ac:dyDescent="0.25">
      <c r="A93" s="5"/>
      <c r="B93" s="144" t="str">
        <f>B83</f>
        <v>Asphalttragschicht</v>
      </c>
      <c r="C93" s="2"/>
      <c r="D93" s="2"/>
      <c r="E93" s="2"/>
      <c r="F93" s="120" t="b">
        <f>IF(F$63='Dropdown Menüs'!$G$6,F$60*F$67*'Faktoren Abwasser'!$B$120/1000,IF(F$63='Dropdown Menüs'!$G$7,(F$60*F$67*'Faktoren Abwasser'!$B$120/1000)+(F$60*(F$68-F$67)*'Faktoren Abwasser'!$B$120/1000*0.2)))</f>
        <v>0</v>
      </c>
      <c r="G93" s="120" t="b">
        <f>IF(G$63='Dropdown Menüs'!$G$6,G$60*G$67*'Faktoren Abwasser'!$B$120/1000,IF(G$63='Dropdown Menüs'!$G$7,(G$60*G$67*'Faktoren Abwasser'!$B$120/1000)+(G$60*(G$68-G$67)*'Faktoren Abwasser'!$B$120/1000*0.2)))</f>
        <v>0</v>
      </c>
      <c r="H93" s="120" t="b">
        <f>IF(H$63='Dropdown Menüs'!$G$6,H$60*H$67*'Faktoren Abwasser'!$B$120/1000,IF(H$63='Dropdown Menüs'!$G$7,(H$60*H$67*'Faktoren Abwasser'!$B$120/1000)+(H$60*(H$68-H$67)*'Faktoren Abwasser'!$B$120/1000*0.2)))</f>
        <v>0</v>
      </c>
      <c r="I93" s="120" t="b">
        <f>IF(I$63='Dropdown Menüs'!$G$6,I$60*I$67*'Faktoren Abwasser'!$B$120/1000,IF(I$63='Dropdown Menüs'!$G$7,(I$60*I$67*'Faktoren Abwasser'!$B$120/1000)+(I$60*(I$68-I$67)*'Faktoren Abwasser'!$B$120/1000*0.2)))</f>
        <v>0</v>
      </c>
      <c r="J93" s="120" t="b">
        <f>IF(J$63='Dropdown Menüs'!$G$6,J$60*J$67*'Faktoren Abwasser'!$B$120/1000,IF(J$63='Dropdown Menüs'!$G$7,(J$60*J$67*'Faktoren Abwasser'!$B$120/1000)+(J$60*(J$68-J$67)*'Faktoren Abwasser'!$B$120/1000*0.2)))</f>
        <v>0</v>
      </c>
      <c r="K93" s="146" cm="1">
        <f t="array" ref="K93">SUM(IF(ISNUMBER(F93:J93),F93:J93))</f>
        <v>0</v>
      </c>
      <c r="L93" s="147" t="s">
        <v>47</v>
      </c>
      <c r="M93" s="2"/>
      <c r="N93" s="3"/>
    </row>
    <row r="94" spans="1:14" x14ac:dyDescent="0.25">
      <c r="A94" s="5"/>
      <c r="B94" s="144" t="s">
        <v>54</v>
      </c>
      <c r="C94" s="2"/>
      <c r="D94" s="2"/>
      <c r="E94" s="2"/>
      <c r="F94" s="120" t="b">
        <f>IF(F$63='Dropdown Menüs'!$G$6,F$61*F$67*'Faktoren Abwasser'!$B$121/1000,IF(F$63='Dropdown Menüs'!$G$7,(F$61*F$67*'Faktoren Abwasser'!$B$121/1000)+(F$61*(F$68-F$67)*'Faktoren Abwasser'!$B$121/1000*0.2)))</f>
        <v>0</v>
      </c>
      <c r="G94" s="120" t="b">
        <f>IF(G$63='Dropdown Menüs'!$G$6,G$61*G$67*'Faktoren Abwasser'!$B$121/1000,IF(G$63='Dropdown Menüs'!$G$7,(G$61*G$67*'Faktoren Abwasser'!$B$121/1000)+(G$61*(G$68-G$67)*'Faktoren Abwasser'!$B$121/1000*0.2)))</f>
        <v>0</v>
      </c>
      <c r="H94" s="120" t="b">
        <f>IF(H$63='Dropdown Menüs'!$G$6,H$61*H$67*'Faktoren Abwasser'!$B$121/1000,IF(H$63='Dropdown Menüs'!$G$7,(H$61*H$67*'Faktoren Abwasser'!$B$121/1000)+(H$61*(H$68-H$67)*'Faktoren Abwasser'!$B$121/1000*0.2)))</f>
        <v>0</v>
      </c>
      <c r="I94" s="120" t="b">
        <f>IF(I$63='Dropdown Menüs'!$G$6,I$61*I$67*'Faktoren Abwasser'!$B$121/1000,IF(I$63='Dropdown Menüs'!$G$7,(I$61*I$67*'Faktoren Abwasser'!$B$121/1000)+(I$61*(I$68-I$67)*'Faktoren Abwasser'!$B$121/1000*0.2)))</f>
        <v>0</v>
      </c>
      <c r="J94" s="120" t="b">
        <f>IF(J$63='Dropdown Menüs'!$G$6,J$61*J$67*'Faktoren Abwasser'!$B$121/1000,IF(J$63='Dropdown Menüs'!$G$7,(J$61*J$67*'Faktoren Abwasser'!$B$121/1000)+(J$61*(J$68-J$67)*'Faktoren Abwasser'!$B$121/1000*0.2)))</f>
        <v>0</v>
      </c>
      <c r="K94" s="146" cm="1">
        <f t="array" ref="K94">SUM(IF(ISNUMBER(F94:J94),F94:J94))</f>
        <v>0</v>
      </c>
      <c r="L94" s="147" t="s">
        <v>47</v>
      </c>
      <c r="M94" s="2"/>
      <c r="N94" s="3"/>
    </row>
    <row r="95" spans="1:14" x14ac:dyDescent="0.25">
      <c r="A95" s="5"/>
      <c r="B95" s="144" t="s">
        <v>55</v>
      </c>
      <c r="C95" s="2"/>
      <c r="D95" s="2"/>
      <c r="E95" s="2"/>
      <c r="F95" s="120" t="b">
        <f>IF(F$63='Dropdown Menüs'!$G$6,F$62*F$67*'Faktoren Abwasser'!$B$122/1000,IF(F$63='Dropdown Menüs'!$G$7,(F$62*F$67*'Faktoren Abwasser'!$B$122/1000)+(F$62*(F$68-F$67)*'Faktoren Abwasser'!$B$122/1000*0.2)))</f>
        <v>0</v>
      </c>
      <c r="G95" s="120" t="b">
        <f>IF(G$63='Dropdown Menüs'!$G$6,G$62*G$67*'Faktoren Abwasser'!$B$122/1000,IF(G$63='Dropdown Menüs'!$G$7,(G$62*G$67*'Faktoren Abwasser'!$B$122/1000)+(G$62*(G$68-G$67)*'Faktoren Abwasser'!$B$122/1000*0.2)))</f>
        <v>0</v>
      </c>
      <c r="H95" s="120" t="b">
        <f>IF(H$63='Dropdown Menüs'!$G$6,H$62*H$67*'Faktoren Abwasser'!$B$122/1000,IF(H$63='Dropdown Menüs'!$G$7,(H$62*H$67*'Faktoren Abwasser'!$B$122/1000)+(H$62*(H$68-H$67)*'Faktoren Abwasser'!$B$122/1000*0.2)))</f>
        <v>0</v>
      </c>
      <c r="I95" s="120" t="b">
        <f>IF(I$63='Dropdown Menüs'!$G$6,I$62*I$67*'Faktoren Abwasser'!$B$122/1000,IF(I$63='Dropdown Menüs'!$G$7,(I$62*I$67*'Faktoren Abwasser'!$B$122/1000)+(I$62*(I$68-I$67)*'Faktoren Abwasser'!$B$122/1000*0.2)))</f>
        <v>0</v>
      </c>
      <c r="J95" s="120" t="b">
        <f>IF(J$63='Dropdown Menüs'!$G$6,J$62*J$67*'Faktoren Abwasser'!$B$122/1000,IF(J$63='Dropdown Menüs'!$G$7,(J$62*J$67*'Faktoren Abwasser'!$B$122/1000)+(J$62*(J$68-J$67)*'Faktoren Abwasser'!$B$122/1000*0.2)))</f>
        <v>0</v>
      </c>
      <c r="K95" s="146" cm="1">
        <f t="array" ref="K95">SUM(IF(ISNUMBER(F95:J95),F95:J95))</f>
        <v>0</v>
      </c>
      <c r="L95" s="147" t="s">
        <v>47</v>
      </c>
      <c r="M95" s="2"/>
      <c r="N95" s="3"/>
    </row>
    <row r="96" spans="1:14" x14ac:dyDescent="0.25">
      <c r="A96" s="5"/>
      <c r="B96" s="2"/>
      <c r="C96" s="2"/>
      <c r="D96" s="2"/>
      <c r="E96" s="2"/>
      <c r="F96" s="13"/>
      <c r="G96" s="13"/>
      <c r="H96" s="109"/>
      <c r="I96" s="109"/>
      <c r="J96" s="109"/>
      <c r="K96" s="2"/>
      <c r="L96" s="113"/>
      <c r="M96" s="2"/>
      <c r="N96" s="3"/>
    </row>
    <row r="97" spans="1:14" x14ac:dyDescent="0.25">
      <c r="A97" s="10" t="s">
        <v>474</v>
      </c>
      <c r="B97" s="6" t="s">
        <v>59</v>
      </c>
      <c r="C97" s="2"/>
      <c r="D97" s="2"/>
      <c r="E97" s="2"/>
      <c r="F97" s="61">
        <f>SUM(F98:F103)</f>
        <v>0</v>
      </c>
      <c r="G97" s="61">
        <f t="shared" ref="G97:J97" si="6">SUM(G98:G103)</f>
        <v>0</v>
      </c>
      <c r="H97" s="61">
        <f t="shared" si="6"/>
        <v>0</v>
      </c>
      <c r="I97" s="61">
        <f t="shared" si="6"/>
        <v>0</v>
      </c>
      <c r="J97" s="61">
        <f t="shared" si="6"/>
        <v>0</v>
      </c>
      <c r="K97" s="111" cm="1">
        <f t="array" ref="K97">SUM(IF(ISNUMBER(F97:J97),F97:J97))</f>
        <v>0</v>
      </c>
      <c r="L97" s="112" t="s">
        <v>2</v>
      </c>
      <c r="M97" s="111"/>
      <c r="N97" s="3"/>
    </row>
    <row r="98" spans="1:14" x14ac:dyDescent="0.25">
      <c r="A98" s="10"/>
      <c r="B98" s="2" t="str">
        <f>B90</f>
        <v>Deckschicht</v>
      </c>
      <c r="C98" s="2"/>
      <c r="D98" s="2"/>
      <c r="E98" s="2"/>
      <c r="F98" s="62">
        <f>IFERROR((F90*1000*VLOOKUP(F$46,'Faktoren Abwasser'!$A$10:$C$18,2)),0)</f>
        <v>0</v>
      </c>
      <c r="G98" s="62">
        <f>IFERROR((G90*1000*VLOOKUP(G$46,'Faktoren Abwasser'!$A$10:$C$18,2)),0)</f>
        <v>0</v>
      </c>
      <c r="H98" s="62">
        <f>IFERROR((H90*1000*VLOOKUP(H$46,'Faktoren Abwasser'!$A$10:$C$18,2)),0)</f>
        <v>0</v>
      </c>
      <c r="I98" s="62">
        <f>IFERROR((I90*1000*VLOOKUP(I$46,'Faktoren Abwasser'!$A$10:$C$18,2)),0)</f>
        <v>0</v>
      </c>
      <c r="J98" s="62">
        <f>IFERROR((J90*1000*VLOOKUP(J$46,'Faktoren Abwasser'!$A$10:$C$18,2)),0)</f>
        <v>0</v>
      </c>
      <c r="K98" s="106" cm="1">
        <f t="array" ref="K98">SUM(IF(ISNUMBER(F98:J98),F98:J98))</f>
        <v>0</v>
      </c>
      <c r="L98" s="112" t="s">
        <v>2</v>
      </c>
      <c r="M98" s="111"/>
      <c r="N98" s="148"/>
    </row>
    <row r="99" spans="1:14" x14ac:dyDescent="0.25">
      <c r="A99" s="10"/>
      <c r="B99" s="2" t="str">
        <f t="shared" ref="B99:B101" si="7">B91</f>
        <v>Pflasterbettung</v>
      </c>
      <c r="C99" s="2"/>
      <c r="D99" s="2"/>
      <c r="E99" s="2"/>
      <c r="F99" s="62">
        <f>F91*1000*'Faktoren Abwasser'!$B14</f>
        <v>0</v>
      </c>
      <c r="G99" s="62">
        <f>G91*1000*'Faktoren Abwasser'!$B14</f>
        <v>0</v>
      </c>
      <c r="H99" s="62">
        <f>H91*1000*'Faktoren Abwasser'!$B14</f>
        <v>0</v>
      </c>
      <c r="I99" s="62">
        <f>I91*1000*'Faktoren Abwasser'!$B14</f>
        <v>0</v>
      </c>
      <c r="J99" s="62">
        <f>J91*1000*'Faktoren Abwasser'!$B14</f>
        <v>0</v>
      </c>
      <c r="K99" s="106" cm="1">
        <f t="array" ref="K99">SUM(IF(ISNUMBER(F99:J99),F99:J99))</f>
        <v>0</v>
      </c>
      <c r="L99" s="112" t="s">
        <v>2</v>
      </c>
      <c r="M99" s="111"/>
      <c r="N99" s="3"/>
    </row>
    <row r="100" spans="1:14" x14ac:dyDescent="0.25">
      <c r="A100" s="10"/>
      <c r="B100" s="2" t="str">
        <f t="shared" si="7"/>
        <v>Asphaltbinder</v>
      </c>
      <c r="C100" s="2"/>
      <c r="D100" s="2"/>
      <c r="E100" s="2"/>
      <c r="F100" s="62">
        <f>F92*1000*'Faktoren Abwasser'!$B15</f>
        <v>0</v>
      </c>
      <c r="G100" s="62">
        <f>G92*1000*'Faktoren Abwasser'!$B15</f>
        <v>0</v>
      </c>
      <c r="H100" s="62">
        <f>H92*1000*'Faktoren Abwasser'!$B15</f>
        <v>0</v>
      </c>
      <c r="I100" s="62">
        <f>I92*1000*'Faktoren Abwasser'!$B15</f>
        <v>0</v>
      </c>
      <c r="J100" s="62">
        <f>J92*1000*'Faktoren Abwasser'!$B15</f>
        <v>0</v>
      </c>
      <c r="K100" s="106" cm="1">
        <f t="array" ref="K100">SUM(IF(ISNUMBER(F100:J100),F100:J100))</f>
        <v>0</v>
      </c>
      <c r="L100" s="112" t="s">
        <v>2</v>
      </c>
      <c r="M100" s="111"/>
      <c r="N100" s="3"/>
    </row>
    <row r="101" spans="1:14" x14ac:dyDescent="0.25">
      <c r="A101" s="10"/>
      <c r="B101" s="2" t="str">
        <f t="shared" si="7"/>
        <v>Asphalttragschicht</v>
      </c>
      <c r="C101" s="2"/>
      <c r="D101" s="2"/>
      <c r="E101" s="2"/>
      <c r="F101" s="62">
        <f>F93*1000*'Faktoren Abwasser'!$B16</f>
        <v>0</v>
      </c>
      <c r="G101" s="62">
        <f>G93*1000*'Faktoren Abwasser'!$B16</f>
        <v>0</v>
      </c>
      <c r="H101" s="62">
        <f>H93*1000*'Faktoren Abwasser'!$B16</f>
        <v>0</v>
      </c>
      <c r="I101" s="62">
        <f>I93*1000*'Faktoren Abwasser'!$B16</f>
        <v>0</v>
      </c>
      <c r="J101" s="62">
        <f>J93*1000*'Faktoren Abwasser'!$B16</f>
        <v>0</v>
      </c>
      <c r="K101" s="106" cm="1">
        <f t="array" ref="K101">SUM(IF(ISNUMBER(F101:J101),F101:J101))</f>
        <v>0</v>
      </c>
      <c r="L101" s="112" t="s">
        <v>2</v>
      </c>
      <c r="M101" s="111"/>
      <c r="N101" s="3"/>
    </row>
    <row r="102" spans="1:14" x14ac:dyDescent="0.25">
      <c r="A102" s="10"/>
      <c r="B102" s="2" t="s">
        <v>54</v>
      </c>
      <c r="C102" s="2"/>
      <c r="D102" s="2"/>
      <c r="E102" s="2"/>
      <c r="F102" s="62">
        <f>F94*1000*'Faktoren Abwasser'!$B17</f>
        <v>0</v>
      </c>
      <c r="G102" s="62">
        <f>G94*1000*'Faktoren Abwasser'!$B17</f>
        <v>0</v>
      </c>
      <c r="H102" s="62">
        <f>H94*1000*'Faktoren Abwasser'!$B17</f>
        <v>0</v>
      </c>
      <c r="I102" s="62">
        <f>I94*1000*'Faktoren Abwasser'!$B17</f>
        <v>0</v>
      </c>
      <c r="J102" s="62">
        <f>J94*1000*'Faktoren Abwasser'!$B17</f>
        <v>0</v>
      </c>
      <c r="K102" s="106" cm="1">
        <f t="array" ref="K102">SUM(IF(ISNUMBER(F102:J102),F102:J102))</f>
        <v>0</v>
      </c>
      <c r="L102" s="112" t="s">
        <v>2</v>
      </c>
      <c r="M102" s="111"/>
      <c r="N102" s="3"/>
    </row>
    <row r="103" spans="1:14" x14ac:dyDescent="0.25">
      <c r="A103" s="5"/>
      <c r="B103" s="2" t="s">
        <v>55</v>
      </c>
      <c r="C103" s="2"/>
      <c r="D103" s="2"/>
      <c r="E103" s="2"/>
      <c r="F103" s="62">
        <f>F95*1000*'Faktoren Abwasser'!$B18</f>
        <v>0</v>
      </c>
      <c r="G103" s="62">
        <f>G95*1000*'Faktoren Abwasser'!$B18</f>
        <v>0</v>
      </c>
      <c r="H103" s="62">
        <f>H95*1000*'Faktoren Abwasser'!$B18</f>
        <v>0</v>
      </c>
      <c r="I103" s="62">
        <f>I95*1000*'Faktoren Abwasser'!$B18</f>
        <v>0</v>
      </c>
      <c r="J103" s="62">
        <f>J95*1000*'Faktoren Abwasser'!$B18</f>
        <v>0</v>
      </c>
      <c r="K103" s="106" cm="1">
        <f t="array" ref="K103">SUM(IF(ISNUMBER(F103:J103),F103:J103))</f>
        <v>0</v>
      </c>
      <c r="L103" s="112" t="s">
        <v>2</v>
      </c>
      <c r="M103" s="111"/>
      <c r="N103" s="3"/>
    </row>
    <row r="104" spans="1:14" x14ac:dyDescent="0.25">
      <c r="A104" s="5"/>
      <c r="B104" s="2"/>
      <c r="C104" s="2"/>
      <c r="D104" s="2"/>
      <c r="E104" s="2"/>
      <c r="F104" s="2"/>
      <c r="G104" s="2"/>
      <c r="H104" s="2"/>
      <c r="I104" s="2"/>
      <c r="J104" s="2"/>
      <c r="K104" s="2"/>
      <c r="L104" s="114"/>
      <c r="M104" s="2"/>
      <c r="N104" s="3"/>
    </row>
    <row r="105" spans="1:14" x14ac:dyDescent="0.25">
      <c r="A105" s="5"/>
      <c r="B105" s="2"/>
      <c r="C105" s="2"/>
      <c r="D105" s="2"/>
      <c r="E105" s="2"/>
      <c r="F105" s="119"/>
      <c r="G105" s="62"/>
      <c r="H105" s="109"/>
      <c r="I105" s="109"/>
      <c r="J105" s="109"/>
      <c r="K105" s="2"/>
      <c r="L105" s="113"/>
      <c r="M105" s="2"/>
      <c r="N105" s="3"/>
    </row>
    <row r="106" spans="1:14" x14ac:dyDescent="0.25">
      <c r="A106" s="10" t="s">
        <v>475</v>
      </c>
      <c r="B106" s="6" t="s">
        <v>60</v>
      </c>
      <c r="C106" s="2"/>
      <c r="D106" s="2"/>
      <c r="E106" s="2"/>
      <c r="F106" s="61" t="e">
        <f>SUM(F108:F113)</f>
        <v>#N/A</v>
      </c>
      <c r="G106" s="61" t="e">
        <f t="shared" ref="G106:J106" si="8">SUM(G108:G113)</f>
        <v>#N/A</v>
      </c>
      <c r="H106" s="61" t="e">
        <f t="shared" si="8"/>
        <v>#N/A</v>
      </c>
      <c r="I106" s="61" t="e">
        <f t="shared" si="8"/>
        <v>#N/A</v>
      </c>
      <c r="J106" s="61" t="e">
        <f t="shared" si="8"/>
        <v>#N/A</v>
      </c>
      <c r="K106" s="111" cm="1">
        <f t="array" ref="K106">SUM(IF(ISNUMBER(F106:J106),F106:J106))</f>
        <v>0</v>
      </c>
      <c r="L106" s="112" t="s">
        <v>2</v>
      </c>
      <c r="M106" s="111"/>
      <c r="N106" s="3"/>
    </row>
    <row r="107" spans="1:14" x14ac:dyDescent="0.25">
      <c r="A107" s="5"/>
      <c r="B107" s="2" t="s">
        <v>61</v>
      </c>
      <c r="C107" s="2"/>
      <c r="D107" s="2"/>
      <c r="E107" s="2"/>
      <c r="F107" s="149"/>
      <c r="G107" s="149"/>
      <c r="H107" s="149"/>
      <c r="I107" s="149"/>
      <c r="J107" s="149"/>
      <c r="K107" s="111"/>
      <c r="L107" s="112" t="s">
        <v>53</v>
      </c>
      <c r="M107" s="111"/>
      <c r="N107" s="3"/>
    </row>
    <row r="108" spans="1:14" x14ac:dyDescent="0.25">
      <c r="A108" s="5"/>
      <c r="B108" s="2" t="str">
        <f>B98</f>
        <v>Deckschicht</v>
      </c>
      <c r="C108" s="2"/>
      <c r="D108" s="2"/>
      <c r="E108" s="2"/>
      <c r="F108" s="150" t="e">
        <f>F90*F$107*'Faktoren Abwasser'!$B$155</f>
        <v>#N/A</v>
      </c>
      <c r="G108" s="150" t="e">
        <f>G90*G$107*'Faktoren Abwasser'!$B$155</f>
        <v>#N/A</v>
      </c>
      <c r="H108" s="150" t="e">
        <f>H90*H$107*'Faktoren Abwasser'!$B$155</f>
        <v>#N/A</v>
      </c>
      <c r="I108" s="150" t="e">
        <f>I90*I$107*'Faktoren Abwasser'!$B$155</f>
        <v>#N/A</v>
      </c>
      <c r="J108" s="150" t="e">
        <f>J90*J$107*'Faktoren Abwasser'!$B$155</f>
        <v>#N/A</v>
      </c>
      <c r="K108" s="106" cm="1">
        <f t="array" ref="K108">SUM(IF(ISNUMBER(F108:J108),F108:J108))</f>
        <v>0</v>
      </c>
      <c r="L108" s="112" t="s">
        <v>2</v>
      </c>
      <c r="M108" s="111"/>
      <c r="N108" s="3"/>
    </row>
    <row r="109" spans="1:14" x14ac:dyDescent="0.25">
      <c r="A109" s="5"/>
      <c r="B109" s="2" t="str">
        <f>B99</f>
        <v>Pflasterbettung</v>
      </c>
      <c r="C109" s="2"/>
      <c r="D109" s="2"/>
      <c r="E109" s="2"/>
      <c r="F109" s="150">
        <f>F91*F$107*'Faktoren Abwasser'!$B$155</f>
        <v>0</v>
      </c>
      <c r="G109" s="150">
        <f>G91*G$107*'Faktoren Abwasser'!$B$155</f>
        <v>0</v>
      </c>
      <c r="H109" s="150">
        <f>H91*H$107*'Faktoren Abwasser'!$B$155</f>
        <v>0</v>
      </c>
      <c r="I109" s="150">
        <f>I91*I$107*'Faktoren Abwasser'!$B$155</f>
        <v>0</v>
      </c>
      <c r="J109" s="150">
        <f>J91*J$107*'Faktoren Abwasser'!$B$155</f>
        <v>0</v>
      </c>
      <c r="K109" s="106" cm="1">
        <f t="array" ref="K109">SUM(IF(ISNUMBER(F109:J109),F109:J109))</f>
        <v>0</v>
      </c>
      <c r="L109" s="112" t="s">
        <v>2</v>
      </c>
      <c r="M109" s="111"/>
      <c r="N109" s="3"/>
    </row>
    <row r="110" spans="1:14" x14ac:dyDescent="0.25">
      <c r="A110" s="5"/>
      <c r="B110" s="2" t="str">
        <f>B100</f>
        <v>Asphaltbinder</v>
      </c>
      <c r="C110" s="2"/>
      <c r="D110" s="2"/>
      <c r="E110" s="2"/>
      <c r="F110" s="150">
        <f>F92*F$107*'Faktoren Abwasser'!$B$155</f>
        <v>0</v>
      </c>
      <c r="G110" s="150">
        <f>G92*G$107*'Faktoren Abwasser'!$B$155</f>
        <v>0</v>
      </c>
      <c r="H110" s="150">
        <f>H92*H$107*'Faktoren Abwasser'!$B$155</f>
        <v>0</v>
      </c>
      <c r="I110" s="150">
        <f>I92*I$107*'Faktoren Abwasser'!$B$155</f>
        <v>0</v>
      </c>
      <c r="J110" s="150">
        <f>J92*J$107*'Faktoren Abwasser'!$B$155</f>
        <v>0</v>
      </c>
      <c r="K110" s="106" cm="1">
        <f t="array" ref="K110">SUM(IF(ISNUMBER(F110:J110),F110:J110))</f>
        <v>0</v>
      </c>
      <c r="L110" s="112" t="s">
        <v>2</v>
      </c>
      <c r="M110" s="111"/>
      <c r="N110" s="3"/>
    </row>
    <row r="111" spans="1:14" x14ac:dyDescent="0.25">
      <c r="A111" s="5"/>
      <c r="B111" s="2" t="str">
        <f>B101</f>
        <v>Asphalttragschicht</v>
      </c>
      <c r="C111" s="2"/>
      <c r="D111" s="2"/>
      <c r="E111" s="2"/>
      <c r="F111" s="150">
        <f>F93*F$107*'Faktoren Abwasser'!$B$155</f>
        <v>0</v>
      </c>
      <c r="G111" s="150">
        <f>G93*G$107*'Faktoren Abwasser'!$B$155</f>
        <v>0</v>
      </c>
      <c r="H111" s="150">
        <f>H93*H$107*'Faktoren Abwasser'!$B$155</f>
        <v>0</v>
      </c>
      <c r="I111" s="150">
        <f>I93*I$107*'Faktoren Abwasser'!$B$155</f>
        <v>0</v>
      </c>
      <c r="J111" s="150">
        <f>J93*J$107*'Faktoren Abwasser'!$B$155</f>
        <v>0</v>
      </c>
      <c r="K111" s="106" cm="1">
        <f t="array" ref="K111">SUM(IF(ISNUMBER(F111:J111),F111:J111))</f>
        <v>0</v>
      </c>
      <c r="L111" s="112" t="s">
        <v>2</v>
      </c>
      <c r="M111" s="111"/>
      <c r="N111" s="3"/>
    </row>
    <row r="112" spans="1:14" x14ac:dyDescent="0.25">
      <c r="A112" s="5"/>
      <c r="B112" s="2" t="s">
        <v>54</v>
      </c>
      <c r="C112" s="2"/>
      <c r="D112" s="2"/>
      <c r="E112" s="2"/>
      <c r="F112" s="150">
        <f>F94*F$107*'Faktoren Abwasser'!$B$155</f>
        <v>0</v>
      </c>
      <c r="G112" s="150">
        <f>G94*G$107*'Faktoren Abwasser'!$B$155</f>
        <v>0</v>
      </c>
      <c r="H112" s="150">
        <f>H94*H$107*'Faktoren Abwasser'!$B$155</f>
        <v>0</v>
      </c>
      <c r="I112" s="150">
        <f>I94*I$107*'Faktoren Abwasser'!$B$155</f>
        <v>0</v>
      </c>
      <c r="J112" s="150">
        <f>J94*J$107*'Faktoren Abwasser'!$B$155</f>
        <v>0</v>
      </c>
      <c r="K112" s="106" cm="1">
        <f t="array" ref="K112">SUM(IF(ISNUMBER(F112:J112),F112:J112))</f>
        <v>0</v>
      </c>
      <c r="L112" s="112" t="s">
        <v>2</v>
      </c>
      <c r="M112" s="111"/>
      <c r="N112" s="3"/>
    </row>
    <row r="113" spans="1:14" x14ac:dyDescent="0.25">
      <c r="A113" s="5"/>
      <c r="B113" s="2" t="s">
        <v>62</v>
      </c>
      <c r="C113" s="2"/>
      <c r="D113" s="2"/>
      <c r="E113" s="2"/>
      <c r="F113" s="150">
        <f>F95*F$107*'Faktoren Abwasser'!$B$155</f>
        <v>0</v>
      </c>
      <c r="G113" s="150">
        <f>G95*G$107*'Faktoren Abwasser'!$B$155</f>
        <v>0</v>
      </c>
      <c r="H113" s="150">
        <f>H95*H$107*'Faktoren Abwasser'!$B$155</f>
        <v>0</v>
      </c>
      <c r="I113" s="150">
        <f>I95*I$107*'Faktoren Abwasser'!$B$155</f>
        <v>0</v>
      </c>
      <c r="J113" s="150">
        <f>J95*J$107*'Faktoren Abwasser'!$B$155</f>
        <v>0</v>
      </c>
      <c r="K113" s="106" cm="1">
        <f t="array" ref="K113">SUM(IF(ISNUMBER(F113:J113),F113:J113))</f>
        <v>0</v>
      </c>
      <c r="L113" s="112" t="s">
        <v>2</v>
      </c>
      <c r="M113" s="111"/>
      <c r="N113" s="3"/>
    </row>
    <row r="114" spans="1:14" x14ac:dyDescent="0.25">
      <c r="A114" s="5"/>
      <c r="B114" s="2"/>
      <c r="C114" s="2"/>
      <c r="D114" s="2"/>
      <c r="E114" s="2"/>
      <c r="F114" s="13"/>
      <c r="G114" s="13"/>
      <c r="H114" s="109"/>
      <c r="I114" s="109"/>
      <c r="J114" s="109"/>
      <c r="K114" s="2"/>
      <c r="L114" s="113"/>
      <c r="M114" s="2"/>
      <c r="N114" s="3"/>
    </row>
    <row r="115" spans="1:14" ht="16.5" customHeight="1" x14ac:dyDescent="0.25">
      <c r="A115" s="10" t="s">
        <v>476</v>
      </c>
      <c r="B115" s="6" t="s">
        <v>63</v>
      </c>
      <c r="C115" s="2"/>
      <c r="D115" s="2"/>
      <c r="E115" s="2"/>
      <c r="F115" s="61">
        <f>SUM(F116:F121)</f>
        <v>0</v>
      </c>
      <c r="G115" s="61">
        <f>SUM(G116:G121)</f>
        <v>0</v>
      </c>
      <c r="H115" s="61">
        <f t="shared" ref="H115:J115" si="9">SUM(H116:H121)</f>
        <v>0</v>
      </c>
      <c r="I115" s="61">
        <f t="shared" si="9"/>
        <v>0</v>
      </c>
      <c r="J115" s="61">
        <f t="shared" si="9"/>
        <v>0</v>
      </c>
      <c r="K115" s="111" cm="1">
        <f t="array" ref="K115">SUM(IF(ISNUMBER(F115:J115),F115:J115))</f>
        <v>0</v>
      </c>
      <c r="L115" s="112" t="s">
        <v>2</v>
      </c>
      <c r="M115" s="111"/>
      <c r="N115" s="121"/>
    </row>
    <row r="116" spans="1:14" x14ac:dyDescent="0.25">
      <c r="A116" s="10"/>
      <c r="B116" s="2" t="str">
        <f>B108</f>
        <v>Deckschicht</v>
      </c>
      <c r="C116" s="2"/>
      <c r="D116" s="2"/>
      <c r="E116" s="2"/>
      <c r="F116" s="151" t="b">
        <f>IF(F63='Dropdown Menüs'!$G$6,IF(F56='Dropdown Menüs'!$F$6,F57*F67*'Faktoren Abwasser'!$B$114*'Faktoren Abwasser'!$C$10,IF(F56='Dropdown Menüs'!$F$7,F57*F67*'Faktoren Abwasser'!$B$115*'Faktoren Abwasser'!$C$11,IF(F56='Dropdown Menüs'!$F$8,F57*F67*'Faktoren Abwasser'!$B$116*'Faktoren Abwasser'!$C$12,IF(F56='Dropdown Menüs'!$F$9,F57*F67*'Faktoren Abwasser'!$B$117*'Faktoren Abwasser'!$C$13)))),IF(F63='Dropdown Menüs'!$G$7,IF(F56='Dropdown Menüs'!$F$6,F57*F68*'Faktoren Abwasser'!$B$114*'Faktoren Abwasser'!$C$10,IF(F56='Dropdown Menüs'!$F$7,F57*F68*'Faktoren Abwasser'!$B$115*'Faktoren Abwasser'!$C$11,IF(F56='Dropdown Menüs'!$F$8,F57*F68*'Faktoren Abwasser'!$B$116*'Faktoren Abwasser'!$C$12,IF(F56='Dropdown Menüs'!$F$9,F57*F68*'Faktoren Abwasser'!$B$117*'Faktoren Abwasser'!$C$13))))))</f>
        <v>0</v>
      </c>
      <c r="G116" s="151" t="b">
        <f>IF(G63='Dropdown Menüs'!$G$6,IF(G56='Dropdown Menüs'!$F$6,G57*G67*'Faktoren Abwasser'!$B$114*'Faktoren Abwasser'!$C$10,IF(G56='Dropdown Menüs'!$F$7,G57*G67*'Faktoren Abwasser'!$B$115*'Faktoren Abwasser'!$C$11,IF(G56='Dropdown Menüs'!$F$8,G57*G67*'Faktoren Abwasser'!$B$116*'Faktoren Abwasser'!$C$12,IF(G56='Dropdown Menüs'!$F$9,G57*G67*'Faktoren Abwasser'!$B$117*'Faktoren Abwasser'!$C$13)))),IF(G63='Dropdown Menüs'!$G$7,IF(G56='Dropdown Menüs'!$F$6,G57*G68*'Faktoren Abwasser'!$B$114*'Faktoren Abwasser'!$C$10,IF(G56='Dropdown Menüs'!$F$7,G57*G68*'Faktoren Abwasser'!$B$115*'Faktoren Abwasser'!$C$11,IF(G56='Dropdown Menüs'!$F$8,G57*G68*'Faktoren Abwasser'!$B$116*'Faktoren Abwasser'!$C$12,IF(G56='Dropdown Menüs'!$F$9,G57*G68*'Faktoren Abwasser'!$B$117*'Faktoren Abwasser'!$C$13))))))</f>
        <v>0</v>
      </c>
      <c r="H116" s="151" t="b">
        <f>IF(H63='Dropdown Menüs'!$G$6,IF(H56='Dropdown Menüs'!$F$6,H57*H67*'Faktoren Abwasser'!$B$114*'Faktoren Abwasser'!$C$10,IF(H56='Dropdown Menüs'!$F$7,H57*H67*'Faktoren Abwasser'!$B$115*'Faktoren Abwasser'!$C$11,IF(H56='Dropdown Menüs'!$F$8,H57*H67*'Faktoren Abwasser'!$B$116*'Faktoren Abwasser'!$C$12,IF(H56='Dropdown Menüs'!$F$9,H57*H67*'Faktoren Abwasser'!$B$117*'Faktoren Abwasser'!$C$13)))),IF(H63='Dropdown Menüs'!$G$7,IF(H56='Dropdown Menüs'!$F$6,H57*H68*'Faktoren Abwasser'!$B$114*'Faktoren Abwasser'!$C$10,IF(H56='Dropdown Menüs'!$F$7,H57*H68*'Faktoren Abwasser'!$B$115*'Faktoren Abwasser'!$C$11,IF(H56='Dropdown Menüs'!$F$8,H57*H68*'Faktoren Abwasser'!$B$116*'Faktoren Abwasser'!$C$12,IF(H56='Dropdown Menüs'!$F$9,H57*H68*'Faktoren Abwasser'!$B$117*'Faktoren Abwasser'!$C$13))))))</f>
        <v>0</v>
      </c>
      <c r="I116" s="151" t="b">
        <f>IF(I63='Dropdown Menüs'!$G$6,IF(I56='Dropdown Menüs'!$F$6,I57*I67*'Faktoren Abwasser'!$B$114*'Faktoren Abwasser'!$C$10,IF(I56='Dropdown Menüs'!$F$7,I57*I67*'Faktoren Abwasser'!$B$115*'Faktoren Abwasser'!$C$11,IF(I56='Dropdown Menüs'!$F$8,I57*I67*'Faktoren Abwasser'!$B$116*'Faktoren Abwasser'!$C$12,IF(I56='Dropdown Menüs'!$F$9,I57*I67*'Faktoren Abwasser'!$B$117*'Faktoren Abwasser'!$C$13)))),IF(I63='Dropdown Menüs'!$G$7,IF(I56='Dropdown Menüs'!$F$6,I57*I68*'Faktoren Abwasser'!$B$114*'Faktoren Abwasser'!$C$10,IF(I56='Dropdown Menüs'!$F$7,I57*I68*'Faktoren Abwasser'!$B$115*'Faktoren Abwasser'!$C$11,IF(I56='Dropdown Menüs'!$F$8,I57*I68*'Faktoren Abwasser'!$B$116*'Faktoren Abwasser'!$C$12,IF(I56='Dropdown Menüs'!$F$9,I57*I68*'Faktoren Abwasser'!$B$117*'Faktoren Abwasser'!$C$13))))))</f>
        <v>0</v>
      </c>
      <c r="J116" s="151" t="b">
        <f>IF(J63='Dropdown Menüs'!$G$6,IF(J56='Dropdown Menüs'!$F$6,J57*J67*'Faktoren Abwasser'!$B$114*'Faktoren Abwasser'!$C$10,IF(J56='Dropdown Menüs'!$F$7,J57*J67*'Faktoren Abwasser'!$B$115*'Faktoren Abwasser'!$C$11,IF(J56='Dropdown Menüs'!$F$8,J57*J67*'Faktoren Abwasser'!$B$116*'Faktoren Abwasser'!$C$12,IF(J56='Dropdown Menüs'!$F$9,J57*J67*'Faktoren Abwasser'!$B$117*'Faktoren Abwasser'!$C$13)))),IF(J63='Dropdown Menüs'!$G$7,IF(J56='Dropdown Menüs'!$F$6,J57*J68*'Faktoren Abwasser'!$B$114*'Faktoren Abwasser'!$C$10,IF(J56='Dropdown Menüs'!$F$7,J57*J68*'Faktoren Abwasser'!$B$115*'Faktoren Abwasser'!$C$11,IF(J56='Dropdown Menüs'!$F$8,J57*J68*'Faktoren Abwasser'!$B$116*'Faktoren Abwasser'!$C$12,IF(J56='Dropdown Menüs'!$F$9,J57*J68*'Faktoren Abwasser'!$B$117*'Faktoren Abwasser'!$C$13))))))</f>
        <v>0</v>
      </c>
      <c r="K116" s="106" cm="1">
        <f t="array" ref="K116">SUM(IF(ISNUMBER(F116:J116),F116:J116))</f>
        <v>0</v>
      </c>
      <c r="L116" s="112" t="s">
        <v>2</v>
      </c>
      <c r="M116" s="111"/>
      <c r="N116" s="3"/>
    </row>
    <row r="117" spans="1:14" x14ac:dyDescent="0.25">
      <c r="A117" s="10"/>
      <c r="B117" s="2" t="str">
        <f t="shared" ref="B117:B119" si="10">B109</f>
        <v>Pflasterbettung</v>
      </c>
      <c r="C117" s="2"/>
      <c r="D117" s="214" t="s">
        <v>416</v>
      </c>
      <c r="E117" s="83">
        <v>0.2</v>
      </c>
      <c r="F117" s="151" t="b">
        <f>IF(F$63='Dropdown Menüs'!$G$6,(F58*F$67*'Faktoren Abwasser'!$B$162*'Faktoren Abwasser'!$B$6),IF(F$63='Dropdown Menüs'!$G$7,(F58*F$67*'Faktoren Abwasser'!$B$6*'Faktoren Abwasser'!$B$162)+((F58*(F$68-F$67)*'Faktoren Abwasser'!$B$162*'Faktoren Abwasser'!$B$6*'Eingaben Hauptkanal'!$E$117))))</f>
        <v>0</v>
      </c>
      <c r="G117" s="151" t="b">
        <f>IF(G$63='Dropdown Menüs'!$G$6,(G58*G$67*'Faktoren Abwasser'!$B$162*'Faktoren Abwasser'!$B$6),IF(G$63='Dropdown Menüs'!$G$7,(G58*G$67*'Faktoren Abwasser'!$B$6*'Faktoren Abwasser'!$B$162)+((G58*(G$68-G$67)*'Faktoren Abwasser'!$B$162*'Faktoren Abwasser'!$B$6*'Eingaben Hauptkanal'!$E$117))))</f>
        <v>0</v>
      </c>
      <c r="H117" s="151" t="b">
        <f>IF(H$63='Dropdown Menüs'!$G$6,(H58*H$67*'Faktoren Abwasser'!$B$162*'Faktoren Abwasser'!$B$6),IF(H$63='Dropdown Menüs'!$G$7,(H58*H$67*'Faktoren Abwasser'!$B$6*'Faktoren Abwasser'!$B$162)+((H58*(H$68-H$67)*'Faktoren Abwasser'!$B$162*'Faktoren Abwasser'!$B$6*'Eingaben Hauptkanal'!$E$117))))</f>
        <v>0</v>
      </c>
      <c r="I117" s="151" t="b">
        <f>IF(I$63='Dropdown Menüs'!$G$6,(I58*I$67*'Faktoren Abwasser'!$B$162*'Faktoren Abwasser'!$B$6),IF(I$63='Dropdown Menüs'!$G$7,(I58*I$67*'Faktoren Abwasser'!$B$6*'Faktoren Abwasser'!$B$162)+((I58*(I$68-I$67)*'Faktoren Abwasser'!$B$162*'Faktoren Abwasser'!$B$6*'Eingaben Hauptkanal'!$E$117))))</f>
        <v>0</v>
      </c>
      <c r="J117" s="151" t="b">
        <f>IF(J$63='Dropdown Menüs'!$G$6,(J58*J$67*'Faktoren Abwasser'!$B$162*'Faktoren Abwasser'!$B$6),IF(J$63='Dropdown Menüs'!$G$7,(J58*J$67*'Faktoren Abwasser'!$B$6*'Faktoren Abwasser'!$B$162)+((J58*(J$68-J$67)*'Faktoren Abwasser'!$B$162*'Faktoren Abwasser'!$B$6*'Eingaben Hauptkanal'!$E$117))))</f>
        <v>0</v>
      </c>
      <c r="K117" s="106" cm="1">
        <f t="array" ref="K117">SUM(IF(ISNUMBER(F117:J117),F117:J117))</f>
        <v>0</v>
      </c>
      <c r="L117" s="112" t="s">
        <v>2</v>
      </c>
      <c r="M117" s="111"/>
      <c r="N117" s="121" t="s">
        <v>437</v>
      </c>
    </row>
    <row r="118" spans="1:14" x14ac:dyDescent="0.25">
      <c r="A118" s="10"/>
      <c r="B118" s="2" t="str">
        <f t="shared" si="10"/>
        <v>Asphaltbinder</v>
      </c>
      <c r="C118" s="2"/>
      <c r="D118" s="2"/>
      <c r="E118" s="2"/>
      <c r="F118" s="151" t="b">
        <f>IF(F$63='Dropdown Menüs'!$G$6,(F59*F$67*'Faktoren Abwasser'!$B$162*'Faktoren Abwasser'!$B$6),IF(F$63='Dropdown Menüs'!$G$7,(F59*F$67*'Faktoren Abwasser'!$B$6*'Faktoren Abwasser'!$B$162)+((F59*(F$68-F$67)*'Faktoren Abwasser'!$B$162*'Faktoren Abwasser'!$B$6*'Eingaben Hauptkanal'!$E$117))))</f>
        <v>0</v>
      </c>
      <c r="G118" s="151" t="b">
        <f>IF(G$63='Dropdown Menüs'!$G$6,(G59*G$67*'Faktoren Abwasser'!$B$162*'Faktoren Abwasser'!$B$6),IF(G$63='Dropdown Menüs'!$G$7,(G59*G$67*'Faktoren Abwasser'!$B$6*'Faktoren Abwasser'!$B$162)+((G59*(G$68-G$67)*'Faktoren Abwasser'!$B$162*'Faktoren Abwasser'!$B$6*'Eingaben Hauptkanal'!$E$117))))</f>
        <v>0</v>
      </c>
      <c r="H118" s="151" t="b">
        <f>IF(H$63='Dropdown Menüs'!$G$6,(H59*H$67*'Faktoren Abwasser'!$B$162*'Faktoren Abwasser'!$B$6),IF(H$63='Dropdown Menüs'!$G$7,(H59*H$67*'Faktoren Abwasser'!$B$6*'Faktoren Abwasser'!$B$162)+((H59*(H$68-H$67)*'Faktoren Abwasser'!$B$162*'Faktoren Abwasser'!$B$6*'Eingaben Hauptkanal'!$E$117))))</f>
        <v>0</v>
      </c>
      <c r="I118" s="151" t="b">
        <f>IF(I$63='Dropdown Menüs'!$G$6,(I59*I$67*'Faktoren Abwasser'!$B$162*'Faktoren Abwasser'!$B$6),IF(I$63='Dropdown Menüs'!$G$7,(I59*I$67*'Faktoren Abwasser'!$B$6*'Faktoren Abwasser'!$B$162)+((I59*(I$68-I$67)*'Faktoren Abwasser'!$B$162*'Faktoren Abwasser'!$B$6*'Eingaben Hauptkanal'!$E$117))))</f>
        <v>0</v>
      </c>
      <c r="J118" s="151" t="b">
        <f>IF(J$63='Dropdown Menüs'!$G$6,(J59*J$67*'Faktoren Abwasser'!$B$162*'Faktoren Abwasser'!$B$6),IF(J$63='Dropdown Menüs'!$G$7,(J59*J$67*'Faktoren Abwasser'!$B$6*'Faktoren Abwasser'!$B$162)+((J59*(J$68-J$67)*'Faktoren Abwasser'!$B$162*'Faktoren Abwasser'!$B$6*'Eingaben Hauptkanal'!$E$117))))</f>
        <v>0</v>
      </c>
      <c r="K118" s="106" cm="1">
        <f t="array" ref="K118">SUM(IF(ISNUMBER(F118:J118),F118:J118))</f>
        <v>0</v>
      </c>
      <c r="L118" s="112" t="s">
        <v>2</v>
      </c>
      <c r="M118" s="111"/>
      <c r="N118" s="3"/>
    </row>
    <row r="119" spans="1:14" x14ac:dyDescent="0.25">
      <c r="A119" s="10"/>
      <c r="B119" s="2" t="str">
        <f t="shared" si="10"/>
        <v>Asphalttragschicht</v>
      </c>
      <c r="C119" s="2"/>
      <c r="D119" s="2"/>
      <c r="E119" s="2"/>
      <c r="F119" s="151" t="b">
        <f>IF(F$63='Dropdown Menüs'!$G$6,(F60*F$67*'Faktoren Abwasser'!$B$162*'Faktoren Abwasser'!$B$6),IF(F$63='Dropdown Menüs'!$G$7,(F60*F$67*'Faktoren Abwasser'!$B$6*'Faktoren Abwasser'!$B$162)+((F60*(F$68-F$67)*'Faktoren Abwasser'!$B$162*'Faktoren Abwasser'!$B$6*'Eingaben Hauptkanal'!$E$117))))</f>
        <v>0</v>
      </c>
      <c r="G119" s="151" t="b">
        <f>IF(G$63='Dropdown Menüs'!$G$6,(G60*G$67*'Faktoren Abwasser'!$B$162*'Faktoren Abwasser'!$B$6),IF(G$63='Dropdown Menüs'!$G$7,(G60*G$67*'Faktoren Abwasser'!$B$6*'Faktoren Abwasser'!$B$162)+((G60*(G$68-G$67)*'Faktoren Abwasser'!$B$162*'Faktoren Abwasser'!$B$6*'Eingaben Hauptkanal'!$E$117))))</f>
        <v>0</v>
      </c>
      <c r="H119" s="151" t="b">
        <f>IF(H$63='Dropdown Menüs'!$G$6,(H60*H$67*'Faktoren Abwasser'!$B$162*'Faktoren Abwasser'!$B$6),IF(H$63='Dropdown Menüs'!$G$7,(H60*H$67*'Faktoren Abwasser'!$B$6*'Faktoren Abwasser'!$B$162)+((H60*(H$68-H$67)*'Faktoren Abwasser'!$B$162*'Faktoren Abwasser'!$B$6*'Eingaben Hauptkanal'!$E$117))))</f>
        <v>0</v>
      </c>
      <c r="I119" s="151" t="b">
        <f>IF(I$63='Dropdown Menüs'!$G$6,(I60*I$67*'Faktoren Abwasser'!$B$162*'Faktoren Abwasser'!$B$6),IF(I$63='Dropdown Menüs'!$G$7,(I60*I$67*'Faktoren Abwasser'!$B$6*'Faktoren Abwasser'!$B$162)+((I60*(I$68-I$67)*'Faktoren Abwasser'!$B$162*'Faktoren Abwasser'!$B$6*'Eingaben Hauptkanal'!$E$117))))</f>
        <v>0</v>
      </c>
      <c r="J119" s="151" t="b">
        <f>IF(J$63='Dropdown Menüs'!$G$6,(J60*J$67*'Faktoren Abwasser'!$B$162*'Faktoren Abwasser'!$B$6),IF(J$63='Dropdown Menüs'!$G$7,(J60*J$67*'Faktoren Abwasser'!$B$6*'Faktoren Abwasser'!$B$162)+((J60*(J$68-J$67)*'Faktoren Abwasser'!$B$162*'Faktoren Abwasser'!$B$6*'Eingaben Hauptkanal'!$E$117))))</f>
        <v>0</v>
      </c>
      <c r="K119" s="106" cm="1">
        <f t="array" ref="K119">SUM(IF(ISNUMBER(F119:J119),F119:J119))</f>
        <v>0</v>
      </c>
      <c r="L119" s="112" t="s">
        <v>2</v>
      </c>
      <c r="M119" s="111"/>
      <c r="N119" s="3"/>
    </row>
    <row r="120" spans="1:14" x14ac:dyDescent="0.25">
      <c r="A120" s="10"/>
      <c r="B120" s="2" t="s">
        <v>54</v>
      </c>
      <c r="C120" s="2"/>
      <c r="D120" s="2"/>
      <c r="E120" s="2"/>
      <c r="F120" s="151" t="b">
        <f>IF(F$63='Dropdown Menüs'!$G$6,(F61*F$67*'Faktoren Abwasser'!$B$162*'Faktoren Abwasser'!$B$6),IF(F$63='Dropdown Menüs'!$G$7,(F61*F$67*'Faktoren Abwasser'!$B$6*'Faktoren Abwasser'!$B$162)+((F61*(F$68-F$67)*'Faktoren Abwasser'!$B$162*'Faktoren Abwasser'!$B$6*'Eingaben Hauptkanal'!$E$117))))</f>
        <v>0</v>
      </c>
      <c r="G120" s="151" t="b">
        <f>IF(G$63='Dropdown Menüs'!$G$6,(G61*G$67*'Faktoren Abwasser'!$B$162*'Faktoren Abwasser'!$B$6),IF(G$63='Dropdown Menüs'!$G$7,(G61*G$67*'Faktoren Abwasser'!$B$6*'Faktoren Abwasser'!$B$162)+((G61*(G$68-G$67)*'Faktoren Abwasser'!$B$162*'Faktoren Abwasser'!$B$6*'Eingaben Hauptkanal'!$E$117))))</f>
        <v>0</v>
      </c>
      <c r="H120" s="151" t="b">
        <f>IF(H$63='Dropdown Menüs'!$G$6,(H61*H$67*'Faktoren Abwasser'!$B$162*'Faktoren Abwasser'!$B$6),IF(H$63='Dropdown Menüs'!$G$7,(H61*H$67*'Faktoren Abwasser'!$B$6*'Faktoren Abwasser'!$B$162)+((H61*(H$68-H$67)*'Faktoren Abwasser'!$B$162*'Faktoren Abwasser'!$B$6*'Eingaben Hauptkanal'!$E$117))))</f>
        <v>0</v>
      </c>
      <c r="I120" s="151" t="b">
        <f>IF(I$63='Dropdown Menüs'!$G$6,(I61*I$67*'Faktoren Abwasser'!$B$162*'Faktoren Abwasser'!$B$6),IF(I$63='Dropdown Menüs'!$G$7,(I61*I$67*'Faktoren Abwasser'!$B$6*'Faktoren Abwasser'!$B$162)+((I61*(I$68-I$67)*'Faktoren Abwasser'!$B$162*'Faktoren Abwasser'!$B$6*'Eingaben Hauptkanal'!$E$117))))</f>
        <v>0</v>
      </c>
      <c r="J120" s="151" t="b">
        <f>IF(J$63='Dropdown Menüs'!$G$6,(J61*J$67*'Faktoren Abwasser'!$B$162*'Faktoren Abwasser'!$B$6),IF(J$63='Dropdown Menüs'!$G$7,(J61*J$67*'Faktoren Abwasser'!$B$6*'Faktoren Abwasser'!$B$162)+((J61*(J$68-J$67)*'Faktoren Abwasser'!$B$162*'Faktoren Abwasser'!$B$6*'Eingaben Hauptkanal'!$E$117))))</f>
        <v>0</v>
      </c>
      <c r="K120" s="106" cm="1">
        <f t="array" ref="K120">SUM(IF(ISNUMBER(F120:J120),F120:J120))</f>
        <v>0</v>
      </c>
      <c r="L120" s="112" t="s">
        <v>2</v>
      </c>
      <c r="M120" s="111"/>
      <c r="N120" s="3"/>
    </row>
    <row r="121" spans="1:14" x14ac:dyDescent="0.25">
      <c r="A121" s="10"/>
      <c r="B121" s="2" t="s">
        <v>55</v>
      </c>
      <c r="C121" s="2"/>
      <c r="D121" s="2"/>
      <c r="E121" s="2"/>
      <c r="F121" s="151" t="b">
        <f>IF(F$63='Dropdown Menüs'!$G$6,(F62*F$67*'Faktoren Abwasser'!$B$162*'Faktoren Abwasser'!$B$6),IF(F$63='Dropdown Menüs'!$G$7,(F62*F$67*'Faktoren Abwasser'!$B$6*'Faktoren Abwasser'!$B$162)+((F62*(F$68-F$67)*'Faktoren Abwasser'!$B$162*'Faktoren Abwasser'!$B$6*'Eingaben Hauptkanal'!$E$117))))</f>
        <v>0</v>
      </c>
      <c r="G121" s="151" t="b">
        <f>IF(G$63='Dropdown Menüs'!$G$6,(G62*G$67*'Faktoren Abwasser'!$B$162*'Faktoren Abwasser'!$B$6),IF(G$63='Dropdown Menüs'!$G$7,(G62*G$67*'Faktoren Abwasser'!$B$6*'Faktoren Abwasser'!$B$162)+((G62*(G$68-G$67)*'Faktoren Abwasser'!$B$162*'Faktoren Abwasser'!$B$6*'Eingaben Hauptkanal'!$E$117))))</f>
        <v>0</v>
      </c>
      <c r="H121" s="151" t="b">
        <f>IF(H$63='Dropdown Menüs'!$G$6,(H62*H$67*'Faktoren Abwasser'!$B$162*'Faktoren Abwasser'!$B$6),IF(H$63='Dropdown Menüs'!$G$7,(H62*H$67*'Faktoren Abwasser'!$B$6*'Faktoren Abwasser'!$B$162)+((H62*(H$68-H$67)*'Faktoren Abwasser'!$B$162*'Faktoren Abwasser'!$B$6*'Eingaben Hauptkanal'!$E$117))))</f>
        <v>0</v>
      </c>
      <c r="I121" s="151" t="b">
        <f>IF(I$63='Dropdown Menüs'!$G$6,(I62*I$67*'Faktoren Abwasser'!$B$162*'Faktoren Abwasser'!$B$6),IF(I$63='Dropdown Menüs'!$G$7,(I62*I$67*'Faktoren Abwasser'!$B$6*'Faktoren Abwasser'!$B$162)+((I62*(I$68-I$67)*'Faktoren Abwasser'!$B$162*'Faktoren Abwasser'!$B$6*'Eingaben Hauptkanal'!$E$117))))</f>
        <v>0</v>
      </c>
      <c r="J121" s="151" t="b">
        <f>IF(J$63='Dropdown Menüs'!$G$6,(J62*J$67*'Faktoren Abwasser'!$B$162*'Faktoren Abwasser'!$B$6),IF(J$63='Dropdown Menüs'!$G$7,(J62*J$67*'Faktoren Abwasser'!$B$6*'Faktoren Abwasser'!$B$162)+((J62*(J$68-J$67)*'Faktoren Abwasser'!$B$162*'Faktoren Abwasser'!$B$6*'Eingaben Hauptkanal'!$E$117))))</f>
        <v>0</v>
      </c>
      <c r="K121" s="106" cm="1">
        <f t="array" ref="K121">SUM(IF(ISNUMBER(F121:J121),F121:J121))</f>
        <v>0</v>
      </c>
      <c r="L121" s="112" t="s">
        <v>2</v>
      </c>
      <c r="M121" s="111"/>
      <c r="N121" s="3"/>
    </row>
    <row r="122" spans="1:14" x14ac:dyDescent="0.25">
      <c r="A122" s="20"/>
      <c r="B122" s="2"/>
      <c r="C122" s="2"/>
      <c r="D122" s="2"/>
      <c r="E122" s="2"/>
      <c r="F122" s="2"/>
      <c r="G122" s="2"/>
      <c r="H122" s="2"/>
      <c r="I122" s="2"/>
      <c r="J122" s="2"/>
      <c r="K122" s="2"/>
      <c r="L122" s="112"/>
      <c r="M122" s="2"/>
      <c r="N122" s="3"/>
    </row>
    <row r="123" spans="1:14" ht="18.75" x14ac:dyDescent="0.3">
      <c r="A123" s="8" t="s">
        <v>67</v>
      </c>
      <c r="B123" s="196" t="s">
        <v>68</v>
      </c>
      <c r="C123" s="14"/>
      <c r="D123" s="14"/>
      <c r="E123" s="14"/>
      <c r="F123" s="202">
        <f>F125+F183+F207+F216+F219</f>
        <v>0</v>
      </c>
      <c r="G123" s="202">
        <f>G125+G183+G207+G216+G219</f>
        <v>0</v>
      </c>
      <c r="H123" s="202">
        <f>H125+H183+H207+H216+H219</f>
        <v>0</v>
      </c>
      <c r="I123" s="202">
        <f>I125+I183+I207+I216+I219</f>
        <v>0</v>
      </c>
      <c r="J123" s="202">
        <f>J125+J183+J207+J216+J219</f>
        <v>0</v>
      </c>
      <c r="K123" s="199" cm="1">
        <f t="array" ref="K123">SUM(IF(ISNUMBER(F123:J123),F123:J123))</f>
        <v>0</v>
      </c>
      <c r="L123" s="14" t="s">
        <v>2</v>
      </c>
      <c r="M123" s="14"/>
      <c r="N123" s="9"/>
    </row>
    <row r="124" spans="1:14" x14ac:dyDescent="0.25">
      <c r="A124" s="5"/>
      <c r="B124" s="2"/>
      <c r="C124" s="2"/>
      <c r="D124" s="2"/>
      <c r="E124" s="2"/>
      <c r="F124" s="120" t="e">
        <f>F123/F21</f>
        <v>#DIV/0!</v>
      </c>
      <c r="G124" s="120" t="e">
        <f>G123/G21</f>
        <v>#DIV/0!</v>
      </c>
      <c r="H124" s="120" t="e">
        <f>H123/H21</f>
        <v>#DIV/0!</v>
      </c>
      <c r="I124" s="120" t="e">
        <f>I123/I21</f>
        <v>#DIV/0!</v>
      </c>
      <c r="J124" s="120" t="e">
        <f>J123/J21</f>
        <v>#DIV/0!</v>
      </c>
      <c r="K124" s="111"/>
      <c r="L124" s="2"/>
      <c r="M124" s="2"/>
      <c r="N124" s="3"/>
    </row>
    <row r="125" spans="1:14" x14ac:dyDescent="0.25">
      <c r="A125" s="21" t="s">
        <v>69</v>
      </c>
      <c r="B125" s="124" t="s">
        <v>70</v>
      </c>
      <c r="C125" s="97"/>
      <c r="D125" s="97"/>
      <c r="E125" s="97"/>
      <c r="F125" s="152">
        <f t="shared" ref="F125:J125" si="11">F135+F140+F162+F178</f>
        <v>0</v>
      </c>
      <c r="G125" s="152">
        <f t="shared" si="11"/>
        <v>0</v>
      </c>
      <c r="H125" s="153">
        <f t="shared" si="11"/>
        <v>0</v>
      </c>
      <c r="I125" s="153">
        <f t="shared" si="11"/>
        <v>0</v>
      </c>
      <c r="J125" s="153">
        <f t="shared" si="11"/>
        <v>0</v>
      </c>
      <c r="K125" s="126">
        <f>K135+K140+K162+K178</f>
        <v>0</v>
      </c>
      <c r="L125" s="97" t="s">
        <v>2</v>
      </c>
      <c r="M125" s="97"/>
      <c r="N125" s="108"/>
    </row>
    <row r="126" spans="1:14" x14ac:dyDescent="0.25">
      <c r="A126" s="5"/>
      <c r="B126" s="2"/>
      <c r="C126" s="2"/>
      <c r="D126" s="2"/>
      <c r="E126" s="2"/>
      <c r="F126" s="13"/>
      <c r="G126" s="13"/>
      <c r="H126" s="13"/>
      <c r="I126" s="13"/>
      <c r="J126" s="13"/>
      <c r="K126" s="2"/>
      <c r="L126" s="111"/>
      <c r="M126" s="2"/>
      <c r="N126" s="3"/>
    </row>
    <row r="127" spans="1:14" x14ac:dyDescent="0.25">
      <c r="A127" s="5"/>
      <c r="B127" s="6" t="s">
        <v>5</v>
      </c>
      <c r="C127" s="2"/>
      <c r="D127" s="2"/>
      <c r="E127" s="2"/>
      <c r="F127" s="119"/>
      <c r="G127" s="119"/>
      <c r="H127" s="119"/>
      <c r="I127" s="119"/>
      <c r="J127" s="119"/>
      <c r="K127" s="2"/>
      <c r="L127" s="111"/>
      <c r="M127" s="2"/>
      <c r="N127" s="3"/>
    </row>
    <row r="128" spans="1:14" x14ac:dyDescent="0.25">
      <c r="A128" s="5"/>
      <c r="B128" s="2" t="s">
        <v>71</v>
      </c>
      <c r="C128" s="2"/>
      <c r="D128" s="2"/>
      <c r="E128" s="2"/>
      <c r="F128" s="23"/>
      <c r="G128" s="23"/>
      <c r="H128" s="23"/>
      <c r="I128" s="23"/>
      <c r="J128" s="23"/>
      <c r="K128" s="106">
        <f>SUM(F128:J128)</f>
        <v>0</v>
      </c>
      <c r="L128" s="112" t="s">
        <v>9</v>
      </c>
      <c r="M128" s="2"/>
      <c r="N128" s="3"/>
    </row>
    <row r="129" spans="1:14" x14ac:dyDescent="0.25">
      <c r="A129" s="5"/>
      <c r="B129" s="2" t="s">
        <v>72</v>
      </c>
      <c r="C129" s="2"/>
      <c r="D129" s="2"/>
      <c r="E129" s="2"/>
      <c r="F129" s="56"/>
      <c r="G129" s="56"/>
      <c r="H129" s="56"/>
      <c r="I129" s="56"/>
      <c r="J129" s="56"/>
      <c r="K129" s="106"/>
      <c r="L129" s="112" t="s">
        <v>9</v>
      </c>
      <c r="M129" s="2"/>
      <c r="N129" s="3"/>
    </row>
    <row r="130" spans="1:14" x14ac:dyDescent="0.25">
      <c r="A130" s="5"/>
      <c r="B130" s="2" t="s">
        <v>73</v>
      </c>
      <c r="C130" s="2"/>
      <c r="D130" s="2"/>
      <c r="E130" s="2"/>
      <c r="F130" s="23"/>
      <c r="G130" s="23"/>
      <c r="H130" s="56"/>
      <c r="I130" s="23"/>
      <c r="J130" s="23"/>
      <c r="K130" s="106">
        <f>SUM(F130:J130)</f>
        <v>0</v>
      </c>
      <c r="L130" s="112" t="s">
        <v>43</v>
      </c>
      <c r="M130" s="2"/>
      <c r="N130" s="3"/>
    </row>
    <row r="131" spans="1:14" x14ac:dyDescent="0.25">
      <c r="A131" s="5"/>
      <c r="B131" s="154" t="s">
        <v>74</v>
      </c>
      <c r="C131" s="154"/>
      <c r="D131" s="154"/>
      <c r="E131" s="154"/>
      <c r="F131" s="155">
        <f>F128*F129*2</f>
        <v>0</v>
      </c>
      <c r="G131" s="155">
        <f t="shared" ref="G131:J131" si="12">G128*G129*2</f>
        <v>0</v>
      </c>
      <c r="H131" s="155">
        <f t="shared" si="12"/>
        <v>0</v>
      </c>
      <c r="I131" s="155">
        <f t="shared" si="12"/>
        <v>0</v>
      </c>
      <c r="J131" s="155">
        <f t="shared" si="12"/>
        <v>0</v>
      </c>
      <c r="K131" s="2"/>
      <c r="L131" s="113"/>
      <c r="M131" s="2"/>
      <c r="N131" s="3"/>
    </row>
    <row r="132" spans="1:14" x14ac:dyDescent="0.25">
      <c r="A132" s="5"/>
      <c r="B132" s="2"/>
      <c r="C132" s="2"/>
      <c r="D132" s="2"/>
      <c r="E132" s="2"/>
      <c r="F132" s="13"/>
      <c r="G132" s="13"/>
      <c r="H132" s="13"/>
      <c r="I132" s="13"/>
      <c r="J132" s="13"/>
      <c r="K132" s="2"/>
      <c r="L132" s="113"/>
      <c r="M132" s="2"/>
      <c r="N132" s="3"/>
    </row>
    <row r="133" spans="1:14" x14ac:dyDescent="0.25">
      <c r="A133" s="19"/>
      <c r="B133" s="156" t="s">
        <v>75</v>
      </c>
      <c r="C133" s="132"/>
      <c r="D133" s="132"/>
      <c r="E133" s="132"/>
      <c r="F133" s="134"/>
      <c r="G133" s="134"/>
      <c r="H133" s="134"/>
      <c r="I133" s="134"/>
      <c r="J133" s="134"/>
      <c r="K133" s="132"/>
      <c r="L133" s="157"/>
      <c r="M133" s="2"/>
      <c r="N133" s="3"/>
    </row>
    <row r="134" spans="1:14" x14ac:dyDescent="0.25">
      <c r="A134" s="5"/>
      <c r="B134" s="2"/>
      <c r="C134" s="2"/>
      <c r="D134" s="2"/>
      <c r="E134" s="2"/>
      <c r="F134" s="13"/>
      <c r="G134" s="13"/>
      <c r="H134" s="13"/>
      <c r="I134" s="13"/>
      <c r="J134" s="13"/>
      <c r="K134" s="2"/>
      <c r="L134" s="113"/>
      <c r="M134" s="2"/>
      <c r="N134" s="3"/>
    </row>
    <row r="135" spans="1:14" x14ac:dyDescent="0.25">
      <c r="A135" s="5"/>
      <c r="B135" s="6" t="s">
        <v>76</v>
      </c>
      <c r="C135" s="2"/>
      <c r="D135" s="2"/>
      <c r="E135" s="2"/>
      <c r="F135" s="158">
        <f>F136*'Faktoren Abwasser'!$B$154/100*'Faktoren Abwasser'!$B$6*F137</f>
        <v>0</v>
      </c>
      <c r="G135" s="158">
        <f>G136*'Faktoren Abwasser'!$B$154/100*'Faktoren Abwasser'!$B$6*G137</f>
        <v>0</v>
      </c>
      <c r="H135" s="158">
        <f>H136*'Faktoren Abwasser'!$B$154/100*'Faktoren Abwasser'!$B$6*H137</f>
        <v>0</v>
      </c>
      <c r="I135" s="158">
        <f>I136*'Faktoren Abwasser'!$B$154/100*'Faktoren Abwasser'!$B$6*I137</f>
        <v>0</v>
      </c>
      <c r="J135" s="158">
        <f>J136*'Faktoren Abwasser'!$B$154/100*'Faktoren Abwasser'!$B$6*J137</f>
        <v>0</v>
      </c>
      <c r="K135" s="111">
        <f>SUM(F135:J135)</f>
        <v>0</v>
      </c>
      <c r="L135" s="112" t="s">
        <v>2</v>
      </c>
      <c r="M135" s="2"/>
      <c r="N135" s="3"/>
    </row>
    <row r="136" spans="1:14" x14ac:dyDescent="0.25">
      <c r="A136" s="5"/>
      <c r="B136" s="2" t="s">
        <v>77</v>
      </c>
      <c r="C136" s="2"/>
      <c r="D136" s="2"/>
      <c r="E136" s="2"/>
      <c r="F136" s="22"/>
      <c r="G136" s="22">
        <v>20</v>
      </c>
      <c r="H136" s="11"/>
      <c r="I136" s="11"/>
      <c r="J136" s="11"/>
      <c r="K136" s="111"/>
      <c r="L136" s="112" t="s">
        <v>53</v>
      </c>
      <c r="M136" s="2"/>
      <c r="N136" s="3"/>
    </row>
    <row r="137" spans="1:14" x14ac:dyDescent="0.25">
      <c r="A137" s="5"/>
      <c r="B137" s="2" t="s">
        <v>78</v>
      </c>
      <c r="C137" s="2"/>
      <c r="D137" s="2"/>
      <c r="E137" s="2"/>
      <c r="F137" s="159">
        <f>ROUNDUP(IF(F133='Dropdown Menüs'!$H$6,F130/'Faktoren Abwasser'!$B$197,IF(F133='Dropdown Menüs'!$H$7,F130/'Faktoren Abwasser'!$B$208,IF(F133='Dropdown Menüs'!$H$8,F130/'Faktoren Abwasser'!$B$215,IF(F133='Dropdown Menüs'!$H$9,F130/'Faktoren Abwasser'!$B$223,0)))),0)</f>
        <v>0</v>
      </c>
      <c r="G137" s="159">
        <f>ROUNDUP(IF(G133='Dropdown Menüs'!$H$6,G130/'Faktoren Abwasser'!$B$197,IF(G133='Dropdown Menüs'!$H$7,G130/'Faktoren Abwasser'!$B$208,IF(G133='Dropdown Menüs'!$H$8,G130/'Faktoren Abwasser'!$B$215,IF(G133='Dropdown Menüs'!$H$9,G130/'Faktoren Abwasser'!$B$223,0)))),0)</f>
        <v>0</v>
      </c>
      <c r="H137" s="159">
        <f>ROUNDUP(IF(H133='Dropdown Menüs'!$H$6,H130/'Faktoren Abwasser'!$B$197,IF(H133='Dropdown Menüs'!$H$7,H130/'Faktoren Abwasser'!$B$208,IF(H133='Dropdown Menüs'!$H$8,H130/'Faktoren Abwasser'!$B$215,IF(H133='Dropdown Menüs'!$H$9,H130/'Faktoren Abwasser'!$B$223,0)))),0)</f>
        <v>0</v>
      </c>
      <c r="I137" s="159">
        <f>ROUNDUP(IF(I133='Dropdown Menüs'!$H$6,I130/'Faktoren Abwasser'!$B$197,IF(I133='Dropdown Menüs'!$H$7,I130/'Faktoren Abwasser'!$B$208,IF(I133='Dropdown Menüs'!$H$8,I130/'Faktoren Abwasser'!$B$215,IF(I133='Dropdown Menüs'!$H$9,I130/'Faktoren Abwasser'!$B$223,0)))),0)</f>
        <v>0</v>
      </c>
      <c r="J137" s="159">
        <f>ROUNDUP(IF(J133='Dropdown Menüs'!$H$6,J130/'Faktoren Abwasser'!$B$197,IF(J133='Dropdown Menüs'!$H$7,J130/'Faktoren Abwasser'!$B$208,IF(J133='Dropdown Menüs'!$H$8,J130/'Faktoren Abwasser'!$B$215,IF(J133='Dropdown Menüs'!$H$9,J130/'Faktoren Abwasser'!$B$223,0)))),0)</f>
        <v>0</v>
      </c>
      <c r="K137" s="111"/>
      <c r="L137" s="112" t="s">
        <v>79</v>
      </c>
      <c r="M137" s="2"/>
      <c r="N137" s="3"/>
    </row>
    <row r="138" spans="1:14" x14ac:dyDescent="0.25">
      <c r="A138" s="5"/>
      <c r="B138" s="2"/>
      <c r="C138" s="2"/>
      <c r="D138" s="2"/>
      <c r="E138" s="2"/>
      <c r="F138" s="13"/>
      <c r="G138" s="13"/>
      <c r="H138" s="13"/>
      <c r="I138" s="13"/>
      <c r="J138" s="13"/>
      <c r="K138" s="2"/>
      <c r="L138" s="113"/>
      <c r="M138" s="2"/>
      <c r="N138" s="3"/>
    </row>
    <row r="139" spans="1:14" x14ac:dyDescent="0.25">
      <c r="A139" s="5"/>
      <c r="B139" s="2"/>
      <c r="C139" s="2"/>
      <c r="D139" s="2"/>
      <c r="E139" s="2"/>
      <c r="F139" s="13"/>
      <c r="G139" s="13"/>
      <c r="H139" s="13"/>
      <c r="I139" s="13"/>
      <c r="J139" s="13"/>
      <c r="K139" s="2"/>
      <c r="L139" s="113"/>
      <c r="M139" s="2"/>
      <c r="N139" s="3"/>
    </row>
    <row r="140" spans="1:14" x14ac:dyDescent="0.25">
      <c r="A140" s="5"/>
      <c r="B140" s="6" t="s">
        <v>80</v>
      </c>
      <c r="C140" s="2"/>
      <c r="D140" s="2"/>
      <c r="E140" s="2"/>
      <c r="F140" s="158">
        <f>F130*IF(F133='Dropdown Menüs'!$H$6,'Eingaben Hauptkanal'!$F$143+'Eingaben Hauptkanal'!$F$144,IF(F133='Dropdown Menüs'!$H$7,'Eingaben Hauptkanal'!$F$147,IF(F133='Dropdown Menüs'!$H$8,'Faktoren Abwasser'!$B$219,IF(F133='Dropdown Menüs'!$H$9,'Eingaben Hauptkanal'!$F$158+'Eingaben Hauptkanal'!$F$159))))</f>
        <v>0</v>
      </c>
      <c r="G140" s="158">
        <f>G130*IF(G133='Dropdown Menüs'!$H$6,'Eingaben Hauptkanal'!$F$143+'Eingaben Hauptkanal'!$F$144,IF(G133='Dropdown Menüs'!$H$7,'Eingaben Hauptkanal'!$F$147,IF(G133='Dropdown Menüs'!$H$8,'Faktoren Abwasser'!$B$219,IF(G133='Dropdown Menüs'!$H$9,'Eingaben Hauptkanal'!$F$158+'Eingaben Hauptkanal'!$F$159))))</f>
        <v>0</v>
      </c>
      <c r="H140" s="158">
        <f>H130*IF(H133='Dropdown Menüs'!$H$6,'Eingaben Hauptkanal'!$F$143+'Eingaben Hauptkanal'!$F$144,IF(H133='Dropdown Menüs'!$H$7,'Eingaben Hauptkanal'!$F$147,IF(H133='Dropdown Menüs'!$H$8,'Faktoren Abwasser'!$B$219,IF(H133='Dropdown Menüs'!$H$9,'Eingaben Hauptkanal'!$F$158+'Eingaben Hauptkanal'!$F$159))))</f>
        <v>0</v>
      </c>
      <c r="I140" s="158">
        <f>I130*IF(I133='Dropdown Menüs'!$H$6,'Eingaben Hauptkanal'!$F$143+'Eingaben Hauptkanal'!$F$144,IF(I133='Dropdown Menüs'!$H$7,'Eingaben Hauptkanal'!$F$147,IF(I133='Dropdown Menüs'!$H$8,'Faktoren Abwasser'!$B$219,IF(I133='Dropdown Menüs'!$H$9,'Eingaben Hauptkanal'!$F$158+'Eingaben Hauptkanal'!$F$159))))</f>
        <v>0</v>
      </c>
      <c r="J140" s="158">
        <f>J130*IF(J133='Dropdown Menüs'!$H$6,'Eingaben Hauptkanal'!$F$143+'Eingaben Hauptkanal'!$F$144,IF(J133='Dropdown Menüs'!$H$7,'Eingaben Hauptkanal'!$F$147,IF(J133='Dropdown Menüs'!$H$8,'Faktoren Abwasser'!$B$219,IF(J133='Dropdown Menüs'!$H$9,'Eingaben Hauptkanal'!$F$158+'Eingaben Hauptkanal'!$F$159))))</f>
        <v>0</v>
      </c>
      <c r="K140" s="111">
        <f>SUM(F140:J140)</f>
        <v>0</v>
      </c>
      <c r="L140" s="112" t="s">
        <v>2</v>
      </c>
      <c r="M140" s="2"/>
      <c r="N140" s="3"/>
    </row>
    <row r="141" spans="1:14" x14ac:dyDescent="0.25">
      <c r="A141" s="5"/>
      <c r="B141" s="6" t="s">
        <v>308</v>
      </c>
      <c r="C141" s="2"/>
      <c r="D141" s="2"/>
      <c r="E141" s="2"/>
      <c r="F141" s="158"/>
      <c r="G141" s="158"/>
      <c r="H141" s="158"/>
      <c r="I141" s="158"/>
      <c r="J141" s="158"/>
      <c r="K141" s="111"/>
      <c r="L141" s="112"/>
      <c r="M141" s="2"/>
      <c r="N141" s="3"/>
    </row>
    <row r="142" spans="1:14" x14ac:dyDescent="0.25">
      <c r="A142" s="5"/>
      <c r="B142" s="12" t="s">
        <v>388</v>
      </c>
      <c r="C142" s="2"/>
      <c r="D142" s="2"/>
      <c r="E142" s="2"/>
      <c r="F142" s="11"/>
      <c r="G142" s="23"/>
      <c r="H142" s="23"/>
      <c r="I142" s="23"/>
      <c r="J142" s="23"/>
      <c r="K142" s="111"/>
      <c r="L142" s="112" t="s">
        <v>9</v>
      </c>
      <c r="M142" s="2"/>
      <c r="N142" s="3"/>
    </row>
    <row r="143" spans="1:14" x14ac:dyDescent="0.25">
      <c r="A143" s="5"/>
      <c r="B143" s="12" t="s">
        <v>378</v>
      </c>
      <c r="C143" s="2"/>
      <c r="D143" s="2"/>
      <c r="E143" s="2"/>
      <c r="F143" s="220" t="e">
        <f>1/'Eingaben Hauptkanal'!F129/2/'Faktoren Abwasser'!$B$203*F142/'Faktoren Abwasser'!$B$200/60*'Faktoren Abwasser'!$B$182*'Faktoren Abwasser'!$B$6</f>
        <v>#DIV/0!</v>
      </c>
      <c r="G143" s="220" t="e">
        <f>1/'Eingaben Hauptkanal'!G129/2/'Faktoren Abwasser'!$B$203*G142/'Faktoren Abwasser'!$B$200/60*'Faktoren Abwasser'!$B$182*'Faktoren Abwasser'!$B$6</f>
        <v>#DIV/0!</v>
      </c>
      <c r="H143" s="220" t="e">
        <f>1/'Eingaben Hauptkanal'!H129/2/'Faktoren Abwasser'!$B$203*H142/'Faktoren Abwasser'!$B$200/60*'Faktoren Abwasser'!$B$182*'Faktoren Abwasser'!$B$6</f>
        <v>#DIV/0!</v>
      </c>
      <c r="I143" s="220" t="e">
        <f>1/'Eingaben Hauptkanal'!I129/2/'Faktoren Abwasser'!$B$203*I142/'Faktoren Abwasser'!$B$200/60*'Faktoren Abwasser'!$B$182*'Faktoren Abwasser'!$B$6</f>
        <v>#DIV/0!</v>
      </c>
      <c r="J143" s="220" t="e">
        <f>1/'Eingaben Hauptkanal'!J129/2/'Faktoren Abwasser'!$B$203*J142/'Faktoren Abwasser'!$B$200/60*'Faktoren Abwasser'!$B$182*'Faktoren Abwasser'!$B$6</f>
        <v>#DIV/0!</v>
      </c>
      <c r="K143" s="111"/>
      <c r="L143" s="257" t="s">
        <v>423</v>
      </c>
      <c r="M143" s="2"/>
      <c r="N143" s="3"/>
    </row>
    <row r="144" spans="1:14" x14ac:dyDescent="0.25">
      <c r="A144" s="5"/>
      <c r="B144" s="12" t="s">
        <v>379</v>
      </c>
      <c r="C144" s="2"/>
      <c r="D144" s="2"/>
      <c r="E144" s="2"/>
      <c r="F144" s="220">
        <f>'Faktoren Abwasser'!$B$198*'Faktoren Abwasser'!$B$161*'Faktoren Abwasser'!$B$6*'Faktoren Abwasser'!$B$204</f>
        <v>0.69600000000000006</v>
      </c>
      <c r="G144" s="220">
        <f>'Faktoren Abwasser'!$B$198*'Faktoren Abwasser'!$B$161*'Faktoren Abwasser'!$B$6*'Faktoren Abwasser'!$B$204</f>
        <v>0.69600000000000006</v>
      </c>
      <c r="H144" s="220">
        <f>'Faktoren Abwasser'!$B$198*'Faktoren Abwasser'!$B$161*'Faktoren Abwasser'!$B$6*'Faktoren Abwasser'!$B$204</f>
        <v>0.69600000000000006</v>
      </c>
      <c r="I144" s="220">
        <f>'Faktoren Abwasser'!$B$198*'Faktoren Abwasser'!$B$161*'Faktoren Abwasser'!$B$6*'Faktoren Abwasser'!$B$204</f>
        <v>0.69600000000000006</v>
      </c>
      <c r="J144" s="220">
        <f>'Faktoren Abwasser'!$B$198*'Faktoren Abwasser'!$B$161*'Faktoren Abwasser'!$B$6*'Faktoren Abwasser'!$B$204</f>
        <v>0.69600000000000006</v>
      </c>
      <c r="K144" s="111"/>
      <c r="L144" s="257" t="s">
        <v>423</v>
      </c>
      <c r="M144" s="2"/>
      <c r="N144" s="3"/>
    </row>
    <row r="145" spans="1:14" x14ac:dyDescent="0.25">
      <c r="A145" s="5"/>
      <c r="B145" s="6"/>
      <c r="C145" s="2"/>
      <c r="D145" s="2"/>
      <c r="E145" s="2"/>
      <c r="F145" s="158"/>
      <c r="G145" s="158"/>
      <c r="H145" s="158"/>
      <c r="I145" s="158"/>
      <c r="J145" s="158"/>
      <c r="K145" s="111"/>
      <c r="L145" s="257"/>
      <c r="M145" s="2"/>
      <c r="N145" s="3"/>
    </row>
    <row r="146" spans="1:14" x14ac:dyDescent="0.25">
      <c r="A146" s="5"/>
      <c r="B146" s="6" t="s">
        <v>309</v>
      </c>
      <c r="C146" s="2"/>
      <c r="D146" s="2"/>
      <c r="E146" s="2"/>
      <c r="F146" s="158"/>
      <c r="G146" s="158"/>
      <c r="H146" s="158"/>
      <c r="I146" s="158"/>
      <c r="J146" s="158"/>
      <c r="K146" s="111"/>
      <c r="L146" s="257"/>
      <c r="M146" s="2"/>
      <c r="N146" s="3"/>
    </row>
    <row r="147" spans="1:14" x14ac:dyDescent="0.25">
      <c r="A147" s="5"/>
      <c r="B147" s="12" t="s">
        <v>382</v>
      </c>
      <c r="C147" s="2"/>
      <c r="D147" s="2"/>
      <c r="E147" s="2"/>
      <c r="F147" s="220">
        <f>'Faktoren Abwasser'!$B$209*'Faktoren Abwasser'!$B$6*'Faktoren Abwasser'!$B$161</f>
        <v>1.1135999999999999</v>
      </c>
      <c r="G147" s="220">
        <f>'Faktoren Abwasser'!$B$209*'Faktoren Abwasser'!$B$6*'Faktoren Abwasser'!$B$161</f>
        <v>1.1135999999999999</v>
      </c>
      <c r="H147" s="220">
        <f>'Faktoren Abwasser'!$B$209*'Faktoren Abwasser'!$B$6*'Faktoren Abwasser'!$B$161</f>
        <v>1.1135999999999999</v>
      </c>
      <c r="I147" s="220">
        <f>'Faktoren Abwasser'!$B$209*'Faktoren Abwasser'!$B$6*'Faktoren Abwasser'!$B$161</f>
        <v>1.1135999999999999</v>
      </c>
      <c r="J147" s="220">
        <f>'Faktoren Abwasser'!$B$209*'Faktoren Abwasser'!$B$6*'Faktoren Abwasser'!$B$161</f>
        <v>1.1135999999999999</v>
      </c>
      <c r="K147" s="111"/>
      <c r="L147" s="257" t="s">
        <v>423</v>
      </c>
      <c r="M147" s="2"/>
      <c r="N147" s="3"/>
    </row>
    <row r="148" spans="1:14" x14ac:dyDescent="0.25">
      <c r="A148" s="5"/>
      <c r="B148" s="12"/>
      <c r="C148" s="2"/>
      <c r="D148" s="2"/>
      <c r="E148" s="2"/>
      <c r="F148" s="158"/>
      <c r="G148" s="158"/>
      <c r="H148" s="158"/>
      <c r="I148" s="158"/>
      <c r="J148" s="158"/>
      <c r="K148" s="111"/>
      <c r="L148" s="112"/>
      <c r="M148" s="2"/>
      <c r="N148" s="3"/>
    </row>
    <row r="149" spans="1:14" x14ac:dyDescent="0.25">
      <c r="A149" s="5"/>
      <c r="B149" s="6" t="s">
        <v>310</v>
      </c>
      <c r="C149" s="2"/>
      <c r="D149" s="2"/>
      <c r="E149" s="2"/>
      <c r="F149" s="158"/>
      <c r="G149" s="158"/>
      <c r="H149" s="158"/>
      <c r="I149" s="158"/>
      <c r="J149" s="158"/>
      <c r="K149" s="111"/>
      <c r="L149" s="112"/>
      <c r="M149" s="2"/>
      <c r="N149" s="3"/>
    </row>
    <row r="150" spans="1:14" x14ac:dyDescent="0.25">
      <c r="A150" s="5"/>
      <c r="B150" s="12"/>
      <c r="C150" s="2"/>
      <c r="D150" s="2"/>
      <c r="E150" s="2"/>
      <c r="F150" s="158"/>
      <c r="G150" s="158"/>
      <c r="H150" s="158"/>
      <c r="I150" s="158"/>
      <c r="J150" s="158"/>
      <c r="K150" s="111"/>
      <c r="L150" s="112"/>
      <c r="M150" s="2"/>
      <c r="N150" s="3"/>
    </row>
    <row r="151" spans="1:14" x14ac:dyDescent="0.25">
      <c r="A151" s="5"/>
      <c r="B151" s="6" t="s">
        <v>311</v>
      </c>
      <c r="C151" s="2"/>
      <c r="D151" s="2"/>
      <c r="E151" s="2"/>
      <c r="F151" s="158"/>
      <c r="G151" s="158"/>
      <c r="H151" s="158"/>
      <c r="I151" s="158"/>
      <c r="J151" s="158"/>
      <c r="K151" s="111"/>
      <c r="L151" s="112"/>
      <c r="M151" s="2"/>
      <c r="N151" s="3"/>
    </row>
    <row r="152" spans="1:14" x14ac:dyDescent="0.25">
      <c r="A152" s="5"/>
      <c r="B152" s="2" t="s">
        <v>389</v>
      </c>
      <c r="C152" s="2"/>
      <c r="D152" s="2"/>
      <c r="E152" s="2"/>
      <c r="F152" s="221"/>
      <c r="G152" s="219"/>
      <c r="H152" s="219"/>
      <c r="I152" s="219"/>
      <c r="J152" s="219"/>
      <c r="K152" s="111"/>
      <c r="L152" s="112"/>
      <c r="M152" s="2"/>
      <c r="N152" s="3"/>
    </row>
    <row r="153" spans="1:14" x14ac:dyDescent="0.25">
      <c r="A153" s="5"/>
      <c r="B153" s="2" t="s">
        <v>372</v>
      </c>
      <c r="C153" s="2"/>
      <c r="D153" s="2"/>
      <c r="E153" s="2"/>
      <c r="F153" s="221"/>
      <c r="G153" s="219"/>
      <c r="H153" s="219"/>
      <c r="I153" s="219"/>
      <c r="J153" s="219"/>
      <c r="K153" s="111"/>
      <c r="L153" s="112"/>
      <c r="M153" s="2"/>
      <c r="N153" s="3"/>
    </row>
    <row r="154" spans="1:14" x14ac:dyDescent="0.25">
      <c r="A154" s="5"/>
      <c r="B154" s="2" t="s">
        <v>390</v>
      </c>
      <c r="C154" s="2"/>
      <c r="D154" s="2"/>
      <c r="E154" s="2"/>
      <c r="F154" s="221"/>
      <c r="G154" s="219"/>
      <c r="H154" s="219"/>
      <c r="I154" s="219"/>
      <c r="J154" s="219"/>
      <c r="K154" s="111"/>
      <c r="L154" s="112"/>
      <c r="M154" s="2"/>
      <c r="N154" s="3"/>
    </row>
    <row r="155" spans="1:14" hidden="1" x14ac:dyDescent="0.25">
      <c r="A155" s="5"/>
      <c r="B155" s="2"/>
      <c r="C155" s="2"/>
      <c r="D155" s="2"/>
      <c r="E155" s="2"/>
      <c r="F155" s="13"/>
      <c r="G155" s="158"/>
      <c r="H155" s="158"/>
      <c r="I155" s="158"/>
      <c r="J155" s="158"/>
      <c r="K155" s="111"/>
      <c r="L155" s="112"/>
      <c r="M155" s="2"/>
      <c r="N155" s="3"/>
    </row>
    <row r="156" spans="1:14" hidden="1" x14ac:dyDescent="0.25">
      <c r="A156" s="5"/>
      <c r="B156" s="2" t="s">
        <v>384</v>
      </c>
      <c r="C156" s="2"/>
      <c r="D156" s="2"/>
      <c r="E156" s="2"/>
      <c r="F156" s="99">
        <f>F154*F152*'Faktoren Abwasser'!$B$224</f>
        <v>0</v>
      </c>
      <c r="G156" s="99">
        <f>G154*G152*'Faktoren Abwasser'!$B$224</f>
        <v>0</v>
      </c>
      <c r="H156" s="99">
        <f>H154*H152*'Faktoren Abwasser'!$B$224</f>
        <v>0</v>
      </c>
      <c r="I156" s="99">
        <f>I154*I152*'Faktoren Abwasser'!$B$224</f>
        <v>0</v>
      </c>
      <c r="J156" s="99">
        <f>J154*J152*'Faktoren Abwasser'!$B$224</f>
        <v>0</v>
      </c>
      <c r="K156" s="111"/>
      <c r="L156" s="112"/>
      <c r="M156" s="2"/>
      <c r="N156" s="3"/>
    </row>
    <row r="157" spans="1:14" hidden="1" x14ac:dyDescent="0.25">
      <c r="A157" s="5"/>
      <c r="B157" s="2" t="s">
        <v>385</v>
      </c>
      <c r="C157" s="2"/>
      <c r="D157" s="2"/>
      <c r="E157" s="2"/>
      <c r="F157" s="99">
        <f>PI()*(F153/2)^2*F154*F152</f>
        <v>0</v>
      </c>
      <c r="G157" s="99">
        <f t="shared" ref="G157:J157" si="13">PI()*(G153/2)^2*G154*G152</f>
        <v>0</v>
      </c>
      <c r="H157" s="99">
        <f t="shared" si="13"/>
        <v>0</v>
      </c>
      <c r="I157" s="99">
        <f t="shared" si="13"/>
        <v>0</v>
      </c>
      <c r="J157" s="99">
        <f t="shared" si="13"/>
        <v>0</v>
      </c>
      <c r="K157" s="111"/>
      <c r="L157" s="112"/>
      <c r="M157" s="2"/>
      <c r="N157" s="3"/>
    </row>
    <row r="158" spans="1:14" hidden="1" x14ac:dyDescent="0.25">
      <c r="A158" s="5"/>
      <c r="B158" s="12" t="s">
        <v>386</v>
      </c>
      <c r="C158" s="2"/>
      <c r="D158" s="2"/>
      <c r="E158" s="2"/>
      <c r="F158" s="220">
        <f>F157*'Faktoren Abwasser'!$B$115*'Faktoren Abwasser'!$B$11</f>
        <v>0</v>
      </c>
      <c r="G158" s="220">
        <f>G157*'Faktoren Abwasser'!$B$115*'Faktoren Abwasser'!$B$11</f>
        <v>0</v>
      </c>
      <c r="H158" s="220">
        <f>H157*'Faktoren Abwasser'!$B$115*'Faktoren Abwasser'!$B$11</f>
        <v>0</v>
      </c>
      <c r="I158" s="220">
        <f>I157*'Faktoren Abwasser'!$B$115*'Faktoren Abwasser'!$B$11</f>
        <v>0</v>
      </c>
      <c r="J158" s="220">
        <f>J157*'Faktoren Abwasser'!$B$115*'Faktoren Abwasser'!$B$11</f>
        <v>0</v>
      </c>
      <c r="K158" s="111"/>
      <c r="L158" s="112"/>
      <c r="M158" s="2"/>
      <c r="N158" s="3"/>
    </row>
    <row r="159" spans="1:14" hidden="1" x14ac:dyDescent="0.25">
      <c r="A159" s="5"/>
      <c r="B159" s="12" t="s">
        <v>387</v>
      </c>
      <c r="C159" s="2"/>
      <c r="D159" s="2"/>
      <c r="E159" s="2"/>
      <c r="F159" s="220">
        <f>16*F156*'Faktoren Abwasser'!$B$6</f>
        <v>0</v>
      </c>
      <c r="G159" s="220">
        <f>16*G156*'Faktoren Abwasser'!$B$6</f>
        <v>0</v>
      </c>
      <c r="H159" s="220">
        <f>16*H156*'Faktoren Abwasser'!$B$6</f>
        <v>0</v>
      </c>
      <c r="I159" s="220">
        <f>16*I156*'Faktoren Abwasser'!$B$6</f>
        <v>0</v>
      </c>
      <c r="J159" s="220">
        <f>16*J156*'Faktoren Abwasser'!$B$6</f>
        <v>0</v>
      </c>
      <c r="K159" s="111"/>
      <c r="L159" s="112"/>
      <c r="M159" s="2"/>
      <c r="N159" s="3"/>
    </row>
    <row r="160" spans="1:14" hidden="1" x14ac:dyDescent="0.25">
      <c r="A160" s="5"/>
      <c r="B160" s="12"/>
      <c r="C160" s="2"/>
      <c r="D160" s="2"/>
      <c r="E160" s="2"/>
      <c r="F160" s="220"/>
      <c r="G160" s="220"/>
      <c r="H160" s="220"/>
      <c r="I160" s="220"/>
      <c r="J160" s="220"/>
      <c r="K160" s="111"/>
      <c r="L160" s="112"/>
      <c r="M160" s="2"/>
      <c r="N160" s="3"/>
    </row>
    <row r="161" spans="1:14" x14ac:dyDescent="0.25">
      <c r="A161" s="5"/>
      <c r="B161" s="12"/>
      <c r="C161" s="2"/>
      <c r="D161" s="2"/>
      <c r="E161" s="2"/>
      <c r="F161" s="158"/>
      <c r="G161" s="158"/>
      <c r="H161" s="158"/>
      <c r="I161" s="158"/>
      <c r="J161" s="158"/>
      <c r="K161" s="111"/>
      <c r="L161" s="112"/>
      <c r="M161" s="2"/>
      <c r="N161" s="3"/>
    </row>
    <row r="162" spans="1:14" x14ac:dyDescent="0.25">
      <c r="A162" s="5"/>
      <c r="B162" s="6" t="s">
        <v>81</v>
      </c>
      <c r="C162" s="2"/>
      <c r="D162" s="2"/>
      <c r="E162" s="2"/>
      <c r="F162" s="158">
        <f>F130*F163*IF(F133='Dropdown Menüs'!$H$6,'Eingaben Hauptkanal'!$F$165+'Eingaben Hauptkanal'!$F$166,IF(F133='Dropdown Menüs'!$H$7,'Eingaben Hauptkanal'!$F$169,IF(F133='Dropdown Menüs'!$H$8,'Faktoren Abwasser'!$B$220,IF(F133='Dropdown Menüs'!$H$9,0))))</f>
        <v>0</v>
      </c>
      <c r="G162" s="158">
        <f>G130*IF(G133='Dropdown Menüs'!$H$6,'Eingaben Hauptkanal'!$F$165+'Eingaben Hauptkanal'!$F$166,IF(G133='Dropdown Menüs'!$H$7,'Eingaben Hauptkanal'!$F$169,IF(G133='Dropdown Menüs'!$H$8,'Faktoren Abwasser'!$B$220,IF(G133='Dropdown Menüs'!$H$9,0))))</f>
        <v>0</v>
      </c>
      <c r="H162" s="158">
        <f>H130*IF(H133='Dropdown Menüs'!$H$6,'Eingaben Hauptkanal'!$F$165+'Eingaben Hauptkanal'!$F$166,IF(H133='Dropdown Menüs'!$H$7,'Eingaben Hauptkanal'!$F$169,IF(H133='Dropdown Menüs'!$H$8,'Faktoren Abwasser'!$B$220,IF(H133='Dropdown Menüs'!$H$9,0))))</f>
        <v>0</v>
      </c>
      <c r="I162" s="158">
        <f>I130*IF(I133='Dropdown Menüs'!$H$6,'Eingaben Hauptkanal'!$F$165+'Eingaben Hauptkanal'!$F$166,IF(I133='Dropdown Menüs'!$H$7,'Eingaben Hauptkanal'!$F$169,IF(I133='Dropdown Menüs'!$H$8,'Faktoren Abwasser'!$B$220,IF(I133='Dropdown Menüs'!$H$9,0))))</f>
        <v>0</v>
      </c>
      <c r="J162" s="158">
        <f>J130*IF(J133='Dropdown Menüs'!$H$6,'Eingaben Hauptkanal'!$F$165+'Eingaben Hauptkanal'!$F$166,IF(J133='Dropdown Menüs'!$H$7,'Eingaben Hauptkanal'!$F$169,IF(J133='Dropdown Menüs'!$H$8,'Faktoren Abwasser'!$B$220,IF(J133='Dropdown Menüs'!$H$9,0))))</f>
        <v>0</v>
      </c>
      <c r="K162" s="111">
        <f>SUM(F162:J162)</f>
        <v>0</v>
      </c>
      <c r="L162" s="112" t="s">
        <v>2</v>
      </c>
      <c r="M162" s="2"/>
      <c r="N162" s="3"/>
    </row>
    <row r="163" spans="1:14" x14ac:dyDescent="0.25">
      <c r="A163" s="5"/>
      <c r="B163" s="6" t="s">
        <v>447</v>
      </c>
      <c r="C163" s="2"/>
      <c r="D163" s="2"/>
      <c r="E163" s="2"/>
      <c r="F163" s="274">
        <v>1</v>
      </c>
      <c r="G163" s="274">
        <v>1</v>
      </c>
      <c r="H163" s="274"/>
      <c r="I163" s="274"/>
      <c r="J163" s="274"/>
      <c r="K163" s="111"/>
      <c r="L163" s="273"/>
      <c r="M163" s="2"/>
      <c r="N163" s="121" t="s">
        <v>448</v>
      </c>
    </row>
    <row r="164" spans="1:14" hidden="1" x14ac:dyDescent="0.25">
      <c r="A164" s="5"/>
      <c r="B164" s="6" t="s">
        <v>308</v>
      </c>
      <c r="C164" s="2"/>
      <c r="D164" s="2"/>
      <c r="E164" s="2"/>
      <c r="F164" s="158"/>
      <c r="G164" s="158"/>
      <c r="H164" s="158"/>
      <c r="I164" s="158"/>
      <c r="J164" s="158"/>
      <c r="K164" s="111"/>
      <c r="L164" s="112"/>
      <c r="M164" s="2"/>
      <c r="N164" s="3"/>
    </row>
    <row r="165" spans="1:14" hidden="1" x14ac:dyDescent="0.25">
      <c r="A165" s="5"/>
      <c r="B165" s="12" t="s">
        <v>380</v>
      </c>
      <c r="C165" s="2"/>
      <c r="D165" s="2"/>
      <c r="E165" s="2"/>
      <c r="F165" s="220" t="e">
        <f>1/'Eingaben Hauptkanal'!F129/2/'Faktoren Abwasser'!$B$203*F142/'Faktoren Abwasser'!$B$201/60*'Faktoren Abwasser'!$B$182*'Faktoren Abwasser'!$B$6</f>
        <v>#DIV/0!</v>
      </c>
      <c r="G165" s="220" t="e">
        <f>1/'Eingaben Hauptkanal'!G129/2/'Faktoren Abwasser'!$B$203*G142/'Faktoren Abwasser'!$B$201/60*'Faktoren Abwasser'!$B$182*'Faktoren Abwasser'!$B$6</f>
        <v>#DIV/0!</v>
      </c>
      <c r="H165" s="220" t="e">
        <f>1/'Eingaben Hauptkanal'!H129/2/'Faktoren Abwasser'!$B$203*H142/'Faktoren Abwasser'!$B$201/60*'Faktoren Abwasser'!$B$182*'Faktoren Abwasser'!$B$6</f>
        <v>#DIV/0!</v>
      </c>
      <c r="I165" s="220" t="e">
        <f>1/'Eingaben Hauptkanal'!I129/2/'Faktoren Abwasser'!$B$203*I142/'Faktoren Abwasser'!$B$201/60*'Faktoren Abwasser'!$B$182*'Faktoren Abwasser'!$B$6</f>
        <v>#DIV/0!</v>
      </c>
      <c r="J165" s="220" t="e">
        <f>1/'Eingaben Hauptkanal'!J129/2/'Faktoren Abwasser'!$B$203*J142/'Faktoren Abwasser'!$B$201/60*'Faktoren Abwasser'!$B$182*'Faktoren Abwasser'!$B$6</f>
        <v>#DIV/0!</v>
      </c>
      <c r="K165" s="111"/>
      <c r="L165" s="218" t="s">
        <v>423</v>
      </c>
      <c r="M165" s="2"/>
      <c r="N165" s="3"/>
    </row>
    <row r="166" spans="1:14" hidden="1" x14ac:dyDescent="0.25">
      <c r="A166" s="5"/>
      <c r="B166" s="12" t="s">
        <v>381</v>
      </c>
      <c r="C166" s="2"/>
      <c r="D166" s="2"/>
      <c r="E166" s="2"/>
      <c r="F166" s="220">
        <f>'Faktoren Abwasser'!$B$199*'Faktoren Abwasser'!$B$161*'Faktoren Abwasser'!$B$6*'Faktoren Abwasser'!$B$204</f>
        <v>0.69600000000000006</v>
      </c>
      <c r="G166" s="220">
        <f>'Faktoren Abwasser'!$B$199*'Faktoren Abwasser'!$B$161*'Faktoren Abwasser'!$B$6*'Faktoren Abwasser'!$B$204</f>
        <v>0.69600000000000006</v>
      </c>
      <c r="H166" s="220">
        <f>'Faktoren Abwasser'!$B$199*'Faktoren Abwasser'!$B$161*'Faktoren Abwasser'!$B$6*'Faktoren Abwasser'!$B$204</f>
        <v>0.69600000000000006</v>
      </c>
      <c r="I166" s="220">
        <f>'Faktoren Abwasser'!$B$199*'Faktoren Abwasser'!$B$161*'Faktoren Abwasser'!$B$6*'Faktoren Abwasser'!$B$204</f>
        <v>0.69600000000000006</v>
      </c>
      <c r="J166" s="220">
        <f>'Faktoren Abwasser'!$B$199*'Faktoren Abwasser'!$B$161*'Faktoren Abwasser'!$B$6*'Faktoren Abwasser'!$B$204</f>
        <v>0.69600000000000006</v>
      </c>
      <c r="K166" s="111"/>
      <c r="L166" s="218" t="s">
        <v>423</v>
      </c>
      <c r="M166" s="2"/>
      <c r="N166" s="3"/>
    </row>
    <row r="167" spans="1:14" hidden="1" x14ac:dyDescent="0.25">
      <c r="A167" s="5"/>
      <c r="B167" s="12"/>
      <c r="C167" s="2"/>
      <c r="D167" s="2"/>
      <c r="E167" s="2"/>
      <c r="F167" s="220"/>
      <c r="G167" s="158"/>
      <c r="H167" s="158"/>
      <c r="I167" s="158"/>
      <c r="J167" s="158"/>
      <c r="K167" s="111"/>
      <c r="L167" s="218"/>
      <c r="M167" s="2"/>
      <c r="N167" s="3"/>
    </row>
    <row r="168" spans="1:14" hidden="1" x14ac:dyDescent="0.25">
      <c r="A168" s="5"/>
      <c r="B168" s="6" t="s">
        <v>309</v>
      </c>
      <c r="C168" s="2"/>
      <c r="D168" s="2"/>
      <c r="E168" s="2"/>
      <c r="F168" s="158"/>
      <c r="G168" s="158"/>
      <c r="H168" s="158"/>
      <c r="I168" s="158"/>
      <c r="J168" s="158"/>
      <c r="K168" s="111"/>
      <c r="L168" s="218"/>
      <c r="M168" s="2"/>
      <c r="N168" s="3"/>
    </row>
    <row r="169" spans="1:14" hidden="1" x14ac:dyDescent="0.25">
      <c r="A169" s="5"/>
      <c r="B169" s="12" t="s">
        <v>383</v>
      </c>
      <c r="C169" s="2"/>
      <c r="D169" s="2"/>
      <c r="E169" s="2"/>
      <c r="F169" s="220">
        <f>'Faktoren Abwasser'!$B$210*'Faktoren Abwasser'!$B$6*'Faktoren Abwasser'!$B$161</f>
        <v>1.1135999999999999</v>
      </c>
      <c r="G169" s="220">
        <f>'Faktoren Abwasser'!$B$210*'Faktoren Abwasser'!$B$6*'Faktoren Abwasser'!$B$161</f>
        <v>1.1135999999999999</v>
      </c>
      <c r="H169" s="220">
        <f>'Faktoren Abwasser'!$B$210*'Faktoren Abwasser'!$B$6*'Faktoren Abwasser'!$B$161</f>
        <v>1.1135999999999999</v>
      </c>
      <c r="I169" s="220">
        <f>'Faktoren Abwasser'!$B$210*'Faktoren Abwasser'!$B$6*'Faktoren Abwasser'!$B$161</f>
        <v>1.1135999999999999</v>
      </c>
      <c r="J169" s="220">
        <f>'Faktoren Abwasser'!$B$210*'Faktoren Abwasser'!$B$6*'Faktoren Abwasser'!$B$161</f>
        <v>1.1135999999999999</v>
      </c>
      <c r="K169" s="111"/>
      <c r="L169" s="218" t="s">
        <v>423</v>
      </c>
      <c r="M169" s="2"/>
      <c r="N169" s="3"/>
    </row>
    <row r="170" spans="1:14" hidden="1" x14ac:dyDescent="0.25">
      <c r="A170" s="5"/>
      <c r="B170" s="6"/>
      <c r="C170" s="2"/>
      <c r="D170" s="2"/>
      <c r="E170" s="2"/>
      <c r="F170" s="158"/>
      <c r="G170" s="158"/>
      <c r="H170" s="158"/>
      <c r="I170" s="158"/>
      <c r="J170" s="158"/>
      <c r="K170" s="111"/>
      <c r="L170" s="112"/>
      <c r="M170" s="2"/>
      <c r="N170" s="3"/>
    </row>
    <row r="171" spans="1:14" hidden="1" x14ac:dyDescent="0.25">
      <c r="A171" s="5"/>
      <c r="B171" s="6" t="s">
        <v>310</v>
      </c>
      <c r="C171" s="2"/>
      <c r="D171" s="2"/>
      <c r="E171" s="2"/>
      <c r="F171" s="158"/>
      <c r="G171" s="158"/>
      <c r="H171" s="158"/>
      <c r="I171" s="158"/>
      <c r="J171" s="158"/>
      <c r="K171" s="111"/>
      <c r="L171" s="112"/>
      <c r="M171" s="2"/>
      <c r="N171" s="3"/>
    </row>
    <row r="172" spans="1:14" hidden="1" x14ac:dyDescent="0.25">
      <c r="A172" s="5"/>
      <c r="B172" s="6"/>
      <c r="C172" s="2"/>
      <c r="D172" s="2"/>
      <c r="E172" s="2"/>
      <c r="F172" s="158"/>
      <c r="G172" s="158"/>
      <c r="H172" s="158"/>
      <c r="I172" s="158"/>
      <c r="J172" s="158"/>
      <c r="K172" s="111"/>
      <c r="L172" s="112"/>
      <c r="M172" s="2"/>
      <c r="N172" s="3"/>
    </row>
    <row r="173" spans="1:14" hidden="1" x14ac:dyDescent="0.25">
      <c r="A173" s="5"/>
      <c r="B173" s="6"/>
      <c r="C173" s="2"/>
      <c r="D173" s="2"/>
      <c r="E173" s="2"/>
      <c r="F173" s="158"/>
      <c r="G173" s="158"/>
      <c r="H173" s="158"/>
      <c r="I173" s="158"/>
      <c r="J173" s="158"/>
      <c r="K173" s="111"/>
      <c r="L173" s="112"/>
      <c r="M173" s="2"/>
      <c r="N173" s="3"/>
    </row>
    <row r="174" spans="1:14" hidden="1" x14ac:dyDescent="0.25">
      <c r="A174" s="5"/>
      <c r="B174" s="6" t="s">
        <v>311</v>
      </c>
      <c r="C174" s="2"/>
      <c r="D174" s="2"/>
      <c r="E174" s="2"/>
      <c r="F174" s="158"/>
      <c r="G174" s="158"/>
      <c r="H174" s="158"/>
      <c r="I174" s="158"/>
      <c r="J174" s="158"/>
      <c r="K174" s="111"/>
      <c r="L174" s="112"/>
      <c r="M174" s="2"/>
      <c r="N174" s="3"/>
    </row>
    <row r="175" spans="1:14" hidden="1" x14ac:dyDescent="0.25">
      <c r="A175" s="5"/>
      <c r="B175" s="6"/>
      <c r="C175" s="2"/>
      <c r="D175" s="2"/>
      <c r="E175" s="2"/>
      <c r="F175" s="158"/>
      <c r="G175" s="158"/>
      <c r="H175" s="158"/>
      <c r="I175" s="158"/>
      <c r="J175" s="158"/>
      <c r="K175" s="111"/>
      <c r="L175" s="112"/>
      <c r="M175" s="2"/>
      <c r="N175" s="3"/>
    </row>
    <row r="176" spans="1:14" hidden="1" x14ac:dyDescent="0.25">
      <c r="A176" s="5"/>
      <c r="B176" s="6"/>
      <c r="C176" s="2"/>
      <c r="D176" s="2"/>
      <c r="E176" s="2"/>
      <c r="F176" s="158"/>
      <c r="G176" s="158"/>
      <c r="H176" s="158"/>
      <c r="I176" s="158"/>
      <c r="J176" s="158"/>
      <c r="K176" s="111"/>
      <c r="L176" s="112"/>
      <c r="M176" s="2"/>
      <c r="N176" s="3"/>
    </row>
    <row r="177" spans="1:14" x14ac:dyDescent="0.25">
      <c r="A177" s="5"/>
      <c r="B177" s="2"/>
      <c r="C177" s="2"/>
      <c r="D177" s="2"/>
      <c r="E177" s="2"/>
      <c r="F177" s="13"/>
      <c r="G177" s="13"/>
      <c r="H177" s="13"/>
      <c r="I177" s="13"/>
      <c r="J177" s="13"/>
      <c r="K177" s="111"/>
      <c r="L177" s="112"/>
      <c r="M177" s="2"/>
      <c r="N177" s="3"/>
    </row>
    <row r="178" spans="1:14" x14ac:dyDescent="0.25">
      <c r="A178" s="5"/>
      <c r="B178" s="6" t="s">
        <v>82</v>
      </c>
      <c r="C178" s="2"/>
      <c r="D178" s="2"/>
      <c r="E178" s="2"/>
      <c r="F178" s="158">
        <f>F136*'Faktoren Abwasser'!$B$154/100*'Faktoren Abwasser'!$B$6*F137</f>
        <v>0</v>
      </c>
      <c r="G178" s="158">
        <f>G136*'Faktoren Abwasser'!$B$154/100*'Faktoren Abwasser'!$B$6*G137</f>
        <v>0</v>
      </c>
      <c r="H178" s="158">
        <f>H136*'Faktoren Abwasser'!$B$154/100*'Faktoren Abwasser'!$B$6*H137</f>
        <v>0</v>
      </c>
      <c r="I178" s="158">
        <f>I136*'Faktoren Abwasser'!$B$154/100*'Faktoren Abwasser'!$B$6*I137</f>
        <v>0</v>
      </c>
      <c r="J178" s="158">
        <f>J136*'Faktoren Abwasser'!$B$154/100*'Faktoren Abwasser'!$B$6*J137</f>
        <v>0</v>
      </c>
      <c r="K178" s="111">
        <f>SUM(F178:J178)</f>
        <v>0</v>
      </c>
      <c r="L178" s="112" t="s">
        <v>2</v>
      </c>
      <c r="M178" s="2"/>
      <c r="N178" s="3"/>
    </row>
    <row r="179" spans="1:14" x14ac:dyDescent="0.25">
      <c r="A179" s="5"/>
      <c r="B179" s="2" t="s">
        <v>77</v>
      </c>
      <c r="C179" s="2"/>
      <c r="D179" s="2"/>
      <c r="E179" s="2"/>
      <c r="F179" s="109">
        <f>F136</f>
        <v>0</v>
      </c>
      <c r="G179" s="109">
        <f>G136</f>
        <v>20</v>
      </c>
      <c r="H179" s="13">
        <v>20</v>
      </c>
      <c r="I179" s="13">
        <v>20</v>
      </c>
      <c r="J179" s="13">
        <v>20</v>
      </c>
      <c r="K179" s="2"/>
      <c r="L179" s="112" t="s">
        <v>53</v>
      </c>
      <c r="M179" s="2"/>
      <c r="N179" s="3"/>
    </row>
    <row r="180" spans="1:14" x14ac:dyDescent="0.25">
      <c r="A180" s="5"/>
      <c r="B180" s="2" t="s">
        <v>78</v>
      </c>
      <c r="C180" s="2"/>
      <c r="D180" s="2"/>
      <c r="E180" s="2"/>
      <c r="F180" s="109">
        <f>ROUNDUP(IF(F133='Dropdown Menüs'!$H$6,(F130*F163)/'Faktoren Abwasser'!$B$197,IF(F133='Dropdown Menüs'!$H$7,(F130*F163)/'Faktoren Abwasser'!$B$208,IF(F133='Dropdown Menüs'!$H$8,(F130*F163)/'Faktoren Abwasser'!$B$215,IF(F133='Dropdown Menüs'!$H$9,(F130*F163)/'Faktoren Abwasser'!$B$223,0)))),0)</f>
        <v>0</v>
      </c>
      <c r="G180" s="109">
        <f>ROUNDUP(IF(G133='Dropdown Menüs'!$H$6,(G130*G163)/'Faktoren Abwasser'!$B$197,IF(G133='Dropdown Menüs'!$H$7,(G130*G163)/'Faktoren Abwasser'!$B$208,IF(G133='Dropdown Menüs'!$H$8,(G130*G163)/'Faktoren Abwasser'!$B$215,IF(G133='Dropdown Menüs'!$H$9,(G130*G163)/'Faktoren Abwasser'!$B$223,0)))),0)</f>
        <v>0</v>
      </c>
      <c r="H180" s="109">
        <f>ROUNDUP(IF(H133='Dropdown Menüs'!$H$6,(H130*H163)/'Faktoren Abwasser'!$B$197,IF(H133='Dropdown Menüs'!$H$7,(H130*H163)/'Faktoren Abwasser'!$B$208,IF(H133='Dropdown Menüs'!$H$8,(H130*H163)/'Faktoren Abwasser'!$B$215,IF(H133='Dropdown Menüs'!$H$9,(H130*H163)/'Faktoren Abwasser'!$B$223,0)))),0)</f>
        <v>0</v>
      </c>
      <c r="I180" s="109">
        <f>ROUNDUP(IF(I133='Dropdown Menüs'!$H$6,(I130*I163)/'Faktoren Abwasser'!$B$197,IF(I133='Dropdown Menüs'!$H$7,(I130*I163)/'Faktoren Abwasser'!$B$208,IF(I133='Dropdown Menüs'!$H$8,(I130*I163)/'Faktoren Abwasser'!$B$215,IF(I133='Dropdown Menüs'!$H$9,(I130*I163)/'Faktoren Abwasser'!$B$223,0)))),0)</f>
        <v>0</v>
      </c>
      <c r="J180" s="109">
        <f>ROUNDUP(IF(J133='Dropdown Menüs'!$H$6,(J130*J163)/'Faktoren Abwasser'!$B$197,IF(J133='Dropdown Menüs'!$H$7,(J130*J163)/'Faktoren Abwasser'!$B$208,IF(J133='Dropdown Menüs'!$H$8,(J130*J163)/'Faktoren Abwasser'!$B$215,IF(J133='Dropdown Menüs'!$H$9,(J130*J163)/'Faktoren Abwasser'!$B$223,0)))),0)</f>
        <v>0</v>
      </c>
      <c r="K180" s="2"/>
      <c r="L180" s="112" t="s">
        <v>79</v>
      </c>
      <c r="M180" s="2"/>
      <c r="N180" s="3"/>
    </row>
    <row r="181" spans="1:14" x14ac:dyDescent="0.25">
      <c r="A181" s="5"/>
      <c r="B181" s="2"/>
      <c r="C181" s="2"/>
      <c r="D181" s="2"/>
      <c r="E181" s="2"/>
      <c r="F181" s="13"/>
      <c r="G181" s="13"/>
      <c r="H181" s="13"/>
      <c r="I181" s="13"/>
      <c r="J181" s="13"/>
      <c r="K181" s="2"/>
      <c r="L181" s="113"/>
      <c r="M181" s="2"/>
      <c r="N181" s="3"/>
    </row>
    <row r="182" spans="1:14" x14ac:dyDescent="0.25">
      <c r="A182" s="5"/>
      <c r="B182" s="2"/>
      <c r="C182" s="2"/>
      <c r="D182" s="2"/>
      <c r="E182" s="2"/>
      <c r="F182" s="13"/>
      <c r="G182" s="13"/>
      <c r="H182" s="13"/>
      <c r="I182" s="13"/>
      <c r="J182" s="13"/>
      <c r="K182" s="2"/>
      <c r="L182" s="113"/>
      <c r="M182" s="2"/>
      <c r="N182" s="3"/>
    </row>
    <row r="183" spans="1:14" x14ac:dyDescent="0.25">
      <c r="A183" s="21" t="s">
        <v>83</v>
      </c>
      <c r="B183" s="124" t="s">
        <v>84</v>
      </c>
      <c r="C183" s="97"/>
      <c r="D183" s="97"/>
      <c r="E183" s="97"/>
      <c r="F183" s="152">
        <f>F185+F188+F192+F196+F201+F204</f>
        <v>0</v>
      </c>
      <c r="G183" s="152">
        <f t="shared" ref="G183:J183" si="14">G185+G188+G192+G196+G201+G204</f>
        <v>0</v>
      </c>
      <c r="H183" s="152">
        <f t="shared" si="14"/>
        <v>0</v>
      </c>
      <c r="I183" s="152">
        <f t="shared" si="14"/>
        <v>0</v>
      </c>
      <c r="J183" s="152">
        <f t="shared" si="14"/>
        <v>0</v>
      </c>
      <c r="K183" s="126">
        <f>SUM(F183:J183)</f>
        <v>0</v>
      </c>
      <c r="L183" s="127" t="s">
        <v>2</v>
      </c>
      <c r="M183" s="97"/>
      <c r="N183" s="108"/>
    </row>
    <row r="184" spans="1:14" x14ac:dyDescent="0.25">
      <c r="A184" s="10"/>
      <c r="B184" s="6"/>
      <c r="C184" s="2"/>
      <c r="D184" s="2"/>
      <c r="E184" s="2"/>
      <c r="F184" s="13"/>
      <c r="G184" s="119"/>
      <c r="H184" s="13"/>
      <c r="I184" s="13"/>
      <c r="J184" s="13"/>
      <c r="K184" s="111"/>
      <c r="L184" s="112"/>
      <c r="M184" s="2"/>
      <c r="N184" s="3"/>
    </row>
    <row r="185" spans="1:14" x14ac:dyDescent="0.25">
      <c r="A185" s="5"/>
      <c r="B185" s="6" t="s">
        <v>85</v>
      </c>
      <c r="C185" s="2"/>
      <c r="D185" s="2"/>
      <c r="E185" s="2"/>
      <c r="F185" s="158">
        <f>F186*'Faktoren Abwasser'!$B$162*'Faktoren Abwasser'!$B$6</f>
        <v>0</v>
      </c>
      <c r="G185" s="158">
        <f>G186*'Faktoren Abwasser'!$B$162*'Faktoren Abwasser'!$B$6</f>
        <v>0</v>
      </c>
      <c r="H185" s="158">
        <f>H186*'Faktoren Abwasser'!$B$162*'Faktoren Abwasser'!$B$6</f>
        <v>0</v>
      </c>
      <c r="I185" s="158">
        <f>I186*'Faktoren Abwasser'!$B$162*'Faktoren Abwasser'!$B$6</f>
        <v>0</v>
      </c>
      <c r="J185" s="158">
        <f>J186*'Faktoren Abwasser'!$B$162*'Faktoren Abwasser'!$B$6</f>
        <v>0</v>
      </c>
      <c r="K185" s="111">
        <f>SUM(F185:J185)</f>
        <v>0</v>
      </c>
      <c r="L185" s="112" t="s">
        <v>2</v>
      </c>
      <c r="M185" s="2"/>
      <c r="N185" s="3"/>
    </row>
    <row r="186" spans="1:14" x14ac:dyDescent="0.25">
      <c r="A186" s="5"/>
      <c r="B186" s="2" t="s">
        <v>86</v>
      </c>
      <c r="C186" s="2"/>
      <c r="D186" s="106"/>
      <c r="E186" s="160"/>
      <c r="F186" s="161"/>
      <c r="G186" s="161"/>
      <c r="H186" s="161"/>
      <c r="I186" s="161"/>
      <c r="J186" s="161"/>
      <c r="K186" s="111"/>
      <c r="L186" s="112" t="s">
        <v>87</v>
      </c>
      <c r="M186" s="2"/>
      <c r="N186" s="3"/>
    </row>
    <row r="187" spans="1:14" x14ac:dyDescent="0.25">
      <c r="A187" s="5"/>
      <c r="B187" s="2"/>
      <c r="C187" s="2"/>
      <c r="D187" s="2"/>
      <c r="E187" s="2"/>
      <c r="F187" s="13"/>
      <c r="G187" s="13"/>
      <c r="H187" s="13"/>
      <c r="I187" s="13"/>
      <c r="J187" s="13"/>
      <c r="K187" s="111"/>
      <c r="L187" s="112"/>
      <c r="M187" s="2"/>
      <c r="N187" s="3"/>
    </row>
    <row r="188" spans="1:14" x14ac:dyDescent="0.25">
      <c r="A188" s="5"/>
      <c r="B188" s="6" t="s">
        <v>88</v>
      </c>
      <c r="C188" s="2"/>
      <c r="D188" s="2"/>
      <c r="E188" s="2"/>
      <c r="F188" s="162">
        <f>F190*'Faktoren Abwasser'!$B$123/1000*F189*'Faktoren Abwasser'!$B$155</f>
        <v>0</v>
      </c>
      <c r="G188" s="61">
        <f>G190*G189*'Faktoren Abwasser'!$B$123/1000*'Faktoren Abwasser'!$B$155</f>
        <v>0</v>
      </c>
      <c r="H188" s="61">
        <f>H190*H189*'Faktoren Abwasser'!$B$123/1000*'Faktoren Abwasser'!$B$155</f>
        <v>0</v>
      </c>
      <c r="I188" s="61">
        <f>I190*I189*'Faktoren Abwasser'!$B$123/1000*'Faktoren Abwasser'!$B$155</f>
        <v>0</v>
      </c>
      <c r="J188" s="61">
        <f>J190*J189*'Faktoren Abwasser'!$B$123/1000*'Faktoren Abwasser'!$B$155</f>
        <v>0</v>
      </c>
      <c r="K188" s="111">
        <f>SUM(F188:J188)</f>
        <v>0</v>
      </c>
      <c r="L188" s="112" t="s">
        <v>2</v>
      </c>
      <c r="M188" s="2"/>
      <c r="N188" s="3"/>
    </row>
    <row r="189" spans="1:14" x14ac:dyDescent="0.25">
      <c r="A189" s="5"/>
      <c r="B189" s="2" t="s">
        <v>89</v>
      </c>
      <c r="C189" s="2"/>
      <c r="D189" s="2"/>
      <c r="E189" s="2"/>
      <c r="F189" s="22"/>
      <c r="G189" s="22"/>
      <c r="H189" s="22"/>
      <c r="I189" s="22"/>
      <c r="J189" s="22"/>
      <c r="K189" s="111"/>
      <c r="L189" s="112" t="s">
        <v>53</v>
      </c>
      <c r="M189" s="2"/>
      <c r="N189" s="3"/>
    </row>
    <row r="190" spans="1:14" x14ac:dyDescent="0.25">
      <c r="A190" s="5"/>
      <c r="B190" s="2" t="s">
        <v>90</v>
      </c>
      <c r="C190" s="2"/>
      <c r="D190" s="2"/>
      <c r="E190" s="112"/>
      <c r="F190" s="163"/>
      <c r="G190" s="163"/>
      <c r="H190" s="163"/>
      <c r="I190" s="163"/>
      <c r="J190" s="163"/>
      <c r="K190" s="111"/>
      <c r="L190" s="112" t="s">
        <v>87</v>
      </c>
      <c r="M190" s="2"/>
      <c r="N190" s="3"/>
    </row>
    <row r="191" spans="1:14" x14ac:dyDescent="0.25">
      <c r="A191" s="5"/>
      <c r="B191" s="2"/>
      <c r="C191" s="2"/>
      <c r="D191" s="2"/>
      <c r="E191" s="2"/>
      <c r="F191" s="13"/>
      <c r="G191" s="13"/>
      <c r="H191" s="13"/>
      <c r="I191" s="13"/>
      <c r="J191" s="13"/>
      <c r="K191" s="111"/>
      <c r="L191" s="112"/>
      <c r="M191" s="2"/>
      <c r="N191" s="3"/>
    </row>
    <row r="192" spans="1:14" x14ac:dyDescent="0.25">
      <c r="A192" s="5"/>
      <c r="B192" s="6" t="s">
        <v>91</v>
      </c>
      <c r="C192" s="2"/>
      <c r="D192" s="2"/>
      <c r="E192" s="112"/>
      <c r="F192" s="61">
        <f>(F193*'Faktoren Abwasser'!$B$22)+(F194*'Faktoren Abwasser'!$B$23)</f>
        <v>0</v>
      </c>
      <c r="G192" s="61">
        <f>(G193*'Faktoren Abwasser'!$B$22)+(G194*'Faktoren Abwasser'!$B$23)</f>
        <v>0</v>
      </c>
      <c r="H192" s="61">
        <f>(H193*'Faktoren Abwasser'!$B$22)+(H194*'Faktoren Abwasser'!$B$23)</f>
        <v>0</v>
      </c>
      <c r="I192" s="61">
        <f>(I193*'Faktoren Abwasser'!$B$22)+(I194*'Faktoren Abwasser'!$B$23)</f>
        <v>0</v>
      </c>
      <c r="J192" s="61">
        <f>(J193*'Faktoren Abwasser'!$B$22)+(J194*'Faktoren Abwasser'!$B$23)</f>
        <v>0</v>
      </c>
      <c r="K192" s="111">
        <f>SUM(F192:J192)</f>
        <v>0</v>
      </c>
      <c r="L192" s="112" t="s">
        <v>2</v>
      </c>
      <c r="M192" s="2"/>
      <c r="N192" s="3"/>
    </row>
    <row r="193" spans="1:14" x14ac:dyDescent="0.25">
      <c r="A193" s="5"/>
      <c r="B193" s="2" t="s">
        <v>92</v>
      </c>
      <c r="C193" s="2"/>
      <c r="D193" s="2"/>
      <c r="E193" s="112"/>
      <c r="F193" s="163"/>
      <c r="G193" s="163"/>
      <c r="H193" s="163"/>
      <c r="I193" s="163"/>
      <c r="J193" s="163"/>
      <c r="K193" s="111"/>
      <c r="L193" s="112" t="s">
        <v>47</v>
      </c>
      <c r="M193" s="2"/>
      <c r="N193" s="3"/>
    </row>
    <row r="194" spans="1:14" x14ac:dyDescent="0.25">
      <c r="A194" s="5"/>
      <c r="B194" s="2" t="s">
        <v>93</v>
      </c>
      <c r="C194" s="2"/>
      <c r="D194" s="2"/>
      <c r="E194" s="112"/>
      <c r="F194" s="163"/>
      <c r="G194" s="163"/>
      <c r="H194" s="163"/>
      <c r="I194" s="163"/>
      <c r="J194" s="163"/>
      <c r="K194" s="111"/>
      <c r="L194" s="112" t="s">
        <v>47</v>
      </c>
      <c r="M194" s="2"/>
      <c r="N194" s="3"/>
    </row>
    <row r="195" spans="1:14" x14ac:dyDescent="0.25">
      <c r="A195" s="5"/>
      <c r="B195" s="2"/>
      <c r="C195" s="2"/>
      <c r="D195" s="2"/>
      <c r="E195" s="2"/>
      <c r="F195" s="13"/>
      <c r="G195" s="13"/>
      <c r="H195" s="13"/>
      <c r="I195" s="13"/>
      <c r="J195" s="13"/>
      <c r="K195" s="13"/>
      <c r="L195" s="113"/>
      <c r="M195" s="2"/>
      <c r="N195" s="3"/>
    </row>
    <row r="196" spans="1:14" x14ac:dyDescent="0.25">
      <c r="A196" s="5"/>
      <c r="B196" s="6" t="s">
        <v>94</v>
      </c>
      <c r="C196" s="2"/>
      <c r="D196" s="2"/>
      <c r="E196" s="2"/>
      <c r="F196" s="61">
        <f>F197*'Faktoren Abwasser'!$B$123/1000*F198*'Faktoren Abwasser'!$B$155</f>
        <v>0</v>
      </c>
      <c r="G196" s="61">
        <f>G197*'Faktoren Abwasser'!$B$123/1000*G198*'Faktoren Abwasser'!$B$155</f>
        <v>0</v>
      </c>
      <c r="H196" s="61">
        <f>H197*'Faktoren Abwasser'!$B$123/1000*H198*'Faktoren Abwasser'!$B$155</f>
        <v>0</v>
      </c>
      <c r="I196" s="61">
        <f>I197*'Faktoren Abwasser'!$B$123/1000*I198*'Faktoren Abwasser'!$B$155</f>
        <v>0</v>
      </c>
      <c r="J196" s="61">
        <f>J197*'Faktoren Abwasser'!$B$123/1000*J198*'Faktoren Abwasser'!$B$155</f>
        <v>0</v>
      </c>
      <c r="K196" s="111">
        <f>SUM(F196:J196)</f>
        <v>0</v>
      </c>
      <c r="L196" s="112" t="s">
        <v>2</v>
      </c>
      <c r="M196" s="2"/>
      <c r="N196" s="3"/>
    </row>
    <row r="197" spans="1:14" x14ac:dyDescent="0.25">
      <c r="A197" s="5"/>
      <c r="B197" s="2" t="s">
        <v>77</v>
      </c>
      <c r="C197" s="2"/>
      <c r="D197" s="2"/>
      <c r="E197" s="2"/>
      <c r="F197" s="22"/>
      <c r="G197" s="22"/>
      <c r="H197" s="22"/>
      <c r="I197" s="22"/>
      <c r="J197" s="22"/>
      <c r="K197" s="111"/>
      <c r="L197" s="112" t="s">
        <v>53</v>
      </c>
      <c r="M197" s="2"/>
      <c r="N197" s="3"/>
    </row>
    <row r="198" spans="1:14" x14ac:dyDescent="0.25">
      <c r="A198" s="5"/>
      <c r="B198" s="2" t="s">
        <v>90</v>
      </c>
      <c r="C198" s="2"/>
      <c r="D198" s="2"/>
      <c r="E198" s="2"/>
      <c r="F198" s="163"/>
      <c r="G198" s="163"/>
      <c r="H198" s="163"/>
      <c r="I198" s="163"/>
      <c r="J198" s="163"/>
      <c r="K198" s="106">
        <f>SUM(F198:J198)</f>
        <v>0</v>
      </c>
      <c r="L198" s="112" t="s">
        <v>87</v>
      </c>
      <c r="M198" s="2"/>
      <c r="N198" s="3"/>
    </row>
    <row r="199" spans="1:14" x14ac:dyDescent="0.25">
      <c r="A199" s="5"/>
      <c r="B199" s="2" t="s">
        <v>95</v>
      </c>
      <c r="C199" s="2"/>
      <c r="D199" s="83"/>
      <c r="E199" s="2"/>
      <c r="F199" s="13"/>
      <c r="G199" s="13"/>
      <c r="H199" s="13"/>
      <c r="I199" s="13"/>
      <c r="J199" s="13"/>
      <c r="K199" s="111"/>
      <c r="L199" s="112"/>
      <c r="M199" s="2"/>
      <c r="N199" s="3"/>
    </row>
    <row r="200" spans="1:14" x14ac:dyDescent="0.25">
      <c r="A200" s="5"/>
      <c r="B200" s="2"/>
      <c r="C200" s="2"/>
      <c r="D200" s="2"/>
      <c r="E200" s="2"/>
      <c r="F200" s="13"/>
      <c r="G200" s="13"/>
      <c r="H200" s="13"/>
      <c r="I200" s="13"/>
      <c r="J200" s="13"/>
      <c r="K200" s="111"/>
      <c r="L200" s="112"/>
      <c r="M200" s="2"/>
      <c r="N200" s="3"/>
    </row>
    <row r="201" spans="1:14" x14ac:dyDescent="0.25">
      <c r="A201" s="5"/>
      <c r="B201" s="6" t="s">
        <v>96</v>
      </c>
      <c r="C201" s="2"/>
      <c r="D201" s="2"/>
      <c r="E201" s="2"/>
      <c r="F201" s="61">
        <f>F202*'Faktoren Abwasser'!$B$6*'Faktoren Abwasser'!$B$162</f>
        <v>0</v>
      </c>
      <c r="G201" s="61">
        <f>G202*'Faktoren Abwasser'!$B$6*'Faktoren Abwasser'!$B$162</f>
        <v>0</v>
      </c>
      <c r="H201" s="61">
        <f>H202*'Faktoren Abwasser'!$B$6*'Faktoren Abwasser'!$B$162</f>
        <v>0</v>
      </c>
      <c r="I201" s="61">
        <f>I202*'Faktoren Abwasser'!$B$6*'Faktoren Abwasser'!$B$162</f>
        <v>0</v>
      </c>
      <c r="J201" s="61">
        <f>J202*'Faktoren Abwasser'!$B$6*'Faktoren Abwasser'!$B$162</f>
        <v>0</v>
      </c>
      <c r="K201" s="111">
        <f>SUM(F201:J201)</f>
        <v>0</v>
      </c>
      <c r="L201" s="112" t="s">
        <v>2</v>
      </c>
      <c r="M201" s="2"/>
      <c r="N201" s="3"/>
    </row>
    <row r="202" spans="1:14" x14ac:dyDescent="0.25">
      <c r="A202" s="5"/>
      <c r="B202" s="2" t="s">
        <v>90</v>
      </c>
      <c r="C202" s="2"/>
      <c r="D202" s="2"/>
      <c r="E202" s="2"/>
      <c r="F202" s="163"/>
      <c r="G202" s="163"/>
      <c r="H202" s="163"/>
      <c r="I202" s="163"/>
      <c r="J202" s="163"/>
      <c r="K202" s="106">
        <f>SUM(F202:J202)</f>
        <v>0</v>
      </c>
      <c r="L202" s="112" t="s">
        <v>87</v>
      </c>
      <c r="M202" s="2"/>
      <c r="N202" s="3"/>
    </row>
    <row r="203" spans="1:14" x14ac:dyDescent="0.25">
      <c r="A203" s="5"/>
      <c r="B203" s="2"/>
      <c r="C203" s="2"/>
      <c r="D203" s="2"/>
      <c r="E203" s="2"/>
      <c r="F203" s="13"/>
      <c r="G203" s="13"/>
      <c r="H203" s="13"/>
      <c r="I203" s="13"/>
      <c r="J203" s="13"/>
      <c r="K203" s="111"/>
      <c r="L203" s="112"/>
      <c r="M203" s="2"/>
      <c r="N203" s="3"/>
    </row>
    <row r="204" spans="1:14" x14ac:dyDescent="0.25">
      <c r="A204" s="5"/>
      <c r="B204" s="6" t="s">
        <v>97</v>
      </c>
      <c r="C204" s="2"/>
      <c r="D204" s="2"/>
      <c r="E204" s="2"/>
      <c r="F204" s="61">
        <f>F205/('Faktoren Abwasser'!$B$187*'Faktoren Abwasser'!$B$186)*'Faktoren Abwasser'!$B$185*'Faktoren Abwasser'!$B$6</f>
        <v>0</v>
      </c>
      <c r="G204" s="61">
        <f>G205/('Faktoren Abwasser'!$B$187*'Faktoren Abwasser'!$B$186)*'Faktoren Abwasser'!$B$185*'Faktoren Abwasser'!$B$6</f>
        <v>0</v>
      </c>
      <c r="H204" s="61">
        <f>H205/('Faktoren Abwasser'!$B$187*'Faktoren Abwasser'!$B$186)*'Faktoren Abwasser'!$B$185*'Faktoren Abwasser'!$B$6</f>
        <v>0</v>
      </c>
      <c r="I204" s="61">
        <f>I205/('Faktoren Abwasser'!$B$187*'Faktoren Abwasser'!$B$186)*'Faktoren Abwasser'!$B$185*'Faktoren Abwasser'!$B$6</f>
        <v>0</v>
      </c>
      <c r="J204" s="61">
        <f>J205/('Faktoren Abwasser'!$B$187*'Faktoren Abwasser'!$B$186)*'Faktoren Abwasser'!$B$185*'Faktoren Abwasser'!$B$6</f>
        <v>0</v>
      </c>
      <c r="K204" s="111">
        <f>SUM(F204:J204)</f>
        <v>0</v>
      </c>
      <c r="L204" s="112" t="s">
        <v>2</v>
      </c>
      <c r="M204" s="2"/>
      <c r="N204" s="3"/>
    </row>
    <row r="205" spans="1:14" x14ac:dyDescent="0.25">
      <c r="A205" s="5"/>
      <c r="B205" s="2" t="s">
        <v>90</v>
      </c>
      <c r="C205" s="2"/>
      <c r="D205" s="2"/>
      <c r="E205" s="2"/>
      <c r="F205" s="62">
        <f>F202</f>
        <v>0</v>
      </c>
      <c r="G205" s="62">
        <f t="shared" ref="G205:J205" si="15">G202</f>
        <v>0</v>
      </c>
      <c r="H205" s="62">
        <f t="shared" si="15"/>
        <v>0</v>
      </c>
      <c r="I205" s="62">
        <f t="shared" si="15"/>
        <v>0</v>
      </c>
      <c r="J205" s="62">
        <f t="shared" si="15"/>
        <v>0</v>
      </c>
      <c r="K205" s="106">
        <f>SUM(F205:J205)</f>
        <v>0</v>
      </c>
      <c r="L205" s="112" t="s">
        <v>87</v>
      </c>
      <c r="M205" s="2"/>
      <c r="N205" s="3"/>
    </row>
    <row r="206" spans="1:14" x14ac:dyDescent="0.25">
      <c r="A206" s="5"/>
      <c r="B206" s="2"/>
      <c r="C206" s="2"/>
      <c r="D206" s="2"/>
      <c r="E206" s="2"/>
      <c r="F206" s="2"/>
      <c r="G206" s="2"/>
      <c r="H206" s="2"/>
      <c r="I206" s="2"/>
      <c r="J206" s="2"/>
      <c r="K206" s="2"/>
      <c r="L206" s="112"/>
      <c r="M206" s="2"/>
      <c r="N206" s="3"/>
    </row>
    <row r="207" spans="1:14" x14ac:dyDescent="0.25">
      <c r="A207" s="21" t="s">
        <v>98</v>
      </c>
      <c r="B207" s="124" t="s">
        <v>99</v>
      </c>
      <c r="C207" s="97"/>
      <c r="D207" s="97"/>
      <c r="E207" s="97"/>
      <c r="F207" s="152">
        <f>F212</f>
        <v>0</v>
      </c>
      <c r="G207" s="152">
        <f t="shared" ref="G207:J207" si="16">G212</f>
        <v>0</v>
      </c>
      <c r="H207" s="152">
        <f t="shared" si="16"/>
        <v>0</v>
      </c>
      <c r="I207" s="152">
        <f t="shared" si="16"/>
        <v>0</v>
      </c>
      <c r="J207" s="152">
        <f t="shared" si="16"/>
        <v>0</v>
      </c>
      <c r="K207" s="126">
        <f>SUM(F207:J207)</f>
        <v>0</v>
      </c>
      <c r="L207" s="127" t="s">
        <v>2</v>
      </c>
      <c r="M207" s="97"/>
      <c r="N207" s="108"/>
    </row>
    <row r="208" spans="1:14" x14ac:dyDescent="0.25">
      <c r="A208" s="10"/>
      <c r="B208" s="6"/>
      <c r="C208" s="2"/>
      <c r="D208" s="2"/>
      <c r="E208" s="2"/>
      <c r="F208" s="13"/>
      <c r="G208" s="119"/>
      <c r="H208" s="13"/>
      <c r="I208" s="13"/>
      <c r="J208" s="13"/>
      <c r="K208" s="111"/>
      <c r="L208" s="112"/>
      <c r="M208" s="2"/>
      <c r="N208" s="3"/>
    </row>
    <row r="209" spans="1:14" x14ac:dyDescent="0.25">
      <c r="A209" s="5"/>
      <c r="B209" s="6" t="s">
        <v>100</v>
      </c>
      <c r="C209" s="2"/>
      <c r="D209" s="2"/>
      <c r="E209" s="2"/>
      <c r="F209" s="158"/>
      <c r="G209" s="158"/>
      <c r="H209" s="158"/>
      <c r="I209" s="158"/>
      <c r="J209" s="158"/>
      <c r="K209" s="111"/>
      <c r="L209" s="112"/>
      <c r="M209" s="2"/>
      <c r="N209" s="3"/>
    </row>
    <row r="210" spans="1:14" x14ac:dyDescent="0.25">
      <c r="A210" s="5"/>
      <c r="B210" s="2" t="s">
        <v>101</v>
      </c>
      <c r="C210" s="2"/>
      <c r="D210" s="2"/>
      <c r="E210" s="2"/>
      <c r="F210" s="163"/>
      <c r="G210" s="163"/>
      <c r="H210" s="11"/>
      <c r="I210" s="11"/>
      <c r="J210" s="11"/>
      <c r="K210" s="111"/>
      <c r="L210" s="112" t="s">
        <v>47</v>
      </c>
      <c r="M210" s="2"/>
      <c r="N210" s="3"/>
    </row>
    <row r="211" spans="1:14" x14ac:dyDescent="0.25">
      <c r="A211" s="5"/>
      <c r="B211" s="2"/>
      <c r="C211" s="2"/>
      <c r="D211" s="2"/>
      <c r="E211" s="2"/>
      <c r="F211" s="2"/>
      <c r="G211" s="2"/>
      <c r="H211" s="2"/>
      <c r="I211" s="2"/>
      <c r="J211" s="2"/>
      <c r="K211" s="2"/>
      <c r="L211" s="112"/>
      <c r="M211" s="2"/>
      <c r="N211" s="3"/>
    </row>
    <row r="212" spans="1:14" x14ac:dyDescent="0.25">
      <c r="A212" s="5"/>
      <c r="B212" s="6" t="s">
        <v>102</v>
      </c>
      <c r="C212" s="2"/>
      <c r="D212" s="2"/>
      <c r="E212" s="2"/>
      <c r="F212" s="61">
        <f>F210*'Faktoren Abwasser'!$B$155*F213</f>
        <v>0</v>
      </c>
      <c r="G212" s="61">
        <f>G210*'Faktoren Abwasser'!$B$155*G213</f>
        <v>0</v>
      </c>
      <c r="H212" s="61">
        <f>H210*'Faktoren Abwasser'!$B$155*H213</f>
        <v>0</v>
      </c>
      <c r="I212" s="61">
        <f>I210*'Faktoren Abwasser'!$B$155*I213</f>
        <v>0</v>
      </c>
      <c r="J212" s="61">
        <f>J210*'Faktoren Abwasser'!$B$155*J213</f>
        <v>0</v>
      </c>
      <c r="K212" s="111">
        <f>SUM(F212:J212)</f>
        <v>0</v>
      </c>
      <c r="L212" s="112" t="s">
        <v>2</v>
      </c>
      <c r="M212" s="2"/>
      <c r="N212" s="3"/>
    </row>
    <row r="213" spans="1:14" x14ac:dyDescent="0.25">
      <c r="A213" s="5"/>
      <c r="B213" s="2" t="s">
        <v>103</v>
      </c>
      <c r="C213" s="2"/>
      <c r="D213" s="2"/>
      <c r="E213" s="2"/>
      <c r="F213" s="22"/>
      <c r="G213" s="22"/>
      <c r="H213" s="22"/>
      <c r="I213" s="22"/>
      <c r="J213" s="22"/>
      <c r="K213" s="2"/>
      <c r="L213" s="112" t="s">
        <v>53</v>
      </c>
      <c r="M213" s="2"/>
      <c r="N213" s="3"/>
    </row>
    <row r="214" spans="1:14" x14ac:dyDescent="0.25">
      <c r="A214" s="5"/>
      <c r="B214" s="2"/>
      <c r="C214" s="2"/>
      <c r="D214" s="2"/>
      <c r="E214" s="2"/>
      <c r="F214" s="2"/>
      <c r="G214" s="2"/>
      <c r="H214" s="2"/>
      <c r="I214" s="2"/>
      <c r="J214" s="2"/>
      <c r="K214" s="2"/>
      <c r="L214" s="112"/>
      <c r="M214" s="2"/>
      <c r="N214" s="3"/>
    </row>
    <row r="215" spans="1:14" x14ac:dyDescent="0.25">
      <c r="A215" s="5"/>
      <c r="B215" s="2"/>
      <c r="C215" s="2"/>
      <c r="D215" s="2"/>
      <c r="E215" s="2"/>
      <c r="F215" s="2"/>
      <c r="G215" s="2"/>
      <c r="H215" s="2"/>
      <c r="I215" s="2"/>
      <c r="J215" s="2"/>
      <c r="K215" s="2"/>
      <c r="L215" s="112"/>
      <c r="M215" s="2"/>
      <c r="N215" s="3"/>
    </row>
    <row r="216" spans="1:14" x14ac:dyDescent="0.25">
      <c r="A216" s="21" t="s">
        <v>104</v>
      </c>
      <c r="B216" s="124" t="s">
        <v>105</v>
      </c>
      <c r="C216" s="97"/>
      <c r="D216" s="97"/>
      <c r="E216" s="97"/>
      <c r="F216" s="152">
        <f>IF(F17="geschlossene Bauweise",'Faktoren Abwasser'!#REF!*2,0)</f>
        <v>0</v>
      </c>
      <c r="G216" s="152">
        <f>IF(G17="geschlossene Bauweise",'Faktoren Abwasser'!#REF!*2,0)</f>
        <v>0</v>
      </c>
      <c r="H216" s="152">
        <f>IF(H17="geschlossene Bauweise",'Faktoren Abwasser'!#REF!*2,0)</f>
        <v>0</v>
      </c>
      <c r="I216" s="152">
        <f>IF(I17="geschlossene Bauweise",'Faktoren Abwasser'!#REF!*2,0)</f>
        <v>0</v>
      </c>
      <c r="J216" s="152">
        <f>IF(J17="geschlossene Bauweise",'Faktoren Abwasser'!#REF!*2,0)</f>
        <v>0</v>
      </c>
      <c r="K216" s="126">
        <f>SUM(F216:J216)</f>
        <v>0</v>
      </c>
      <c r="L216" s="127" t="s">
        <v>2</v>
      </c>
      <c r="M216" s="97"/>
      <c r="N216" s="108"/>
    </row>
    <row r="217" spans="1:14" x14ac:dyDescent="0.25">
      <c r="A217" s="10"/>
      <c r="B217" s="6"/>
      <c r="C217" s="2"/>
      <c r="D217" s="2"/>
      <c r="E217" s="2"/>
      <c r="F217" s="13"/>
      <c r="G217" s="119"/>
      <c r="H217" s="13"/>
      <c r="I217" s="13"/>
      <c r="J217" s="13"/>
      <c r="K217" s="111"/>
      <c r="L217" s="112"/>
      <c r="M217" s="2"/>
      <c r="N217" s="3"/>
    </row>
    <row r="218" spans="1:14" x14ac:dyDescent="0.25">
      <c r="A218" s="20"/>
      <c r="B218" s="2"/>
      <c r="C218" s="2"/>
      <c r="D218" s="2"/>
      <c r="E218" s="2"/>
      <c r="F218" s="2"/>
      <c r="G218" s="2"/>
      <c r="H218" s="2"/>
      <c r="I218" s="2"/>
      <c r="J218" s="2"/>
      <c r="K218" s="2"/>
      <c r="L218" s="112"/>
      <c r="M218" s="2"/>
      <c r="N218" s="3"/>
    </row>
    <row r="219" spans="1:14" x14ac:dyDescent="0.25">
      <c r="A219" s="21" t="s">
        <v>106</v>
      </c>
      <c r="B219" s="124" t="s">
        <v>107</v>
      </c>
      <c r="C219" s="97"/>
      <c r="D219" s="97"/>
      <c r="E219" s="97"/>
      <c r="F219" s="152">
        <f>IF(F17="geschlossene Bauweise",('Hilfsrechnungen&amp;Baustelleninfo'!B94)*'Eingaben Hauptkanal'!F21,0)</f>
        <v>0</v>
      </c>
      <c r="G219" s="152">
        <f>IF(G17="geschlossene Bauweise",('Hilfsrechnungen&amp;Baustelleninfo'!C94)*'Eingaben Hauptkanal'!G21,0)</f>
        <v>0</v>
      </c>
      <c r="H219" s="152">
        <f>IF(H17="geschlossene Bauweise",('Hilfsrechnungen&amp;Baustelleninfo'!D94)*'Eingaben Hauptkanal'!H21,0)</f>
        <v>0</v>
      </c>
      <c r="I219" s="152">
        <f>IF(I17="geschlossene Bauweise",('Hilfsrechnungen&amp;Baustelleninfo'!E94)*'Eingaben Hauptkanal'!I21,0)</f>
        <v>0</v>
      </c>
      <c r="J219" s="152">
        <f>IF(J17="geschlossene Bauweise",('Hilfsrechnungen&amp;Baustelleninfo'!F94)*'Eingaben Hauptkanal'!J21,0)</f>
        <v>0</v>
      </c>
      <c r="K219" s="126">
        <f>SUM(F219:J219)</f>
        <v>0</v>
      </c>
      <c r="L219" s="127" t="s">
        <v>2</v>
      </c>
      <c r="M219" s="97"/>
      <c r="N219" s="108"/>
    </row>
    <row r="220" spans="1:14" s="2" customFormat="1" x14ac:dyDescent="0.25">
      <c r="A220" s="10"/>
      <c r="B220" s="6"/>
      <c r="F220" s="61"/>
      <c r="G220" s="61"/>
      <c r="H220" s="61"/>
      <c r="I220" s="61"/>
      <c r="J220" s="61"/>
      <c r="K220" s="111"/>
      <c r="L220" s="112"/>
      <c r="N220" s="3"/>
    </row>
    <row r="221" spans="1:14" x14ac:dyDescent="0.25">
      <c r="A221" s="10"/>
      <c r="B221" s="6"/>
      <c r="C221" s="2"/>
      <c r="D221" s="2"/>
      <c r="E221" s="2"/>
      <c r="F221" s="13"/>
      <c r="G221" s="119"/>
      <c r="H221" s="13"/>
      <c r="I221" s="13"/>
      <c r="J221" s="13"/>
      <c r="K221" s="111"/>
      <c r="L221" s="112"/>
      <c r="M221" s="2"/>
      <c r="N221" s="3"/>
    </row>
    <row r="222" spans="1:14" ht="18.75" x14ac:dyDescent="0.3">
      <c r="A222" s="8" t="s">
        <v>108</v>
      </c>
      <c r="B222" s="196" t="s">
        <v>109</v>
      </c>
      <c r="C222" s="14"/>
      <c r="D222" s="14"/>
      <c r="E222" s="14"/>
      <c r="F222" s="202">
        <f>F224+F237+F268+F289+F299</f>
        <v>0</v>
      </c>
      <c r="G222" s="202">
        <f>G224+G237+G268+G289+G299</f>
        <v>0</v>
      </c>
      <c r="H222" s="202">
        <f>H224+H237+H268+H289+H299</f>
        <v>0</v>
      </c>
      <c r="I222" s="202">
        <f>I224+I237+I268+I289+I299</f>
        <v>0</v>
      </c>
      <c r="J222" s="202">
        <f>J224+J237+J268+J289+J299</f>
        <v>0</v>
      </c>
      <c r="K222" s="199" cm="1">
        <f t="array" ref="K222">SUM(IF(ISNUMBER(F222:J222),F222:J222))</f>
        <v>0</v>
      </c>
      <c r="L222" s="200" t="s">
        <v>2</v>
      </c>
      <c r="M222" s="14"/>
      <c r="N222" s="9"/>
    </row>
    <row r="223" spans="1:14" x14ac:dyDescent="0.25">
      <c r="A223" s="5"/>
      <c r="B223" s="2"/>
      <c r="C223" s="2"/>
      <c r="D223" s="2"/>
      <c r="E223" s="2"/>
      <c r="F223" s="13"/>
      <c r="G223" s="13"/>
      <c r="H223" s="13"/>
      <c r="I223" s="13"/>
      <c r="J223" s="13"/>
      <c r="K223" s="111"/>
      <c r="L223" s="112"/>
      <c r="M223" s="111"/>
      <c r="N223" s="3"/>
    </row>
    <row r="224" spans="1:14" x14ac:dyDescent="0.25">
      <c r="A224" s="21" t="s">
        <v>110</v>
      </c>
      <c r="B224" s="124" t="s">
        <v>111</v>
      </c>
      <c r="C224" s="97"/>
      <c r="D224" s="97"/>
      <c r="E224" s="97"/>
      <c r="F224" s="164">
        <f>F226+F231+F234</f>
        <v>0</v>
      </c>
      <c r="G224" s="164">
        <f t="shared" ref="G224:J224" si="17">G226+G231+G234</f>
        <v>0</v>
      </c>
      <c r="H224" s="164">
        <f t="shared" si="17"/>
        <v>0</v>
      </c>
      <c r="I224" s="164">
        <f>I226+I231+I234</f>
        <v>0</v>
      </c>
      <c r="J224" s="164">
        <f t="shared" si="17"/>
        <v>0</v>
      </c>
      <c r="K224" s="126">
        <f>SUM(F224:J224)</f>
        <v>0</v>
      </c>
      <c r="L224" s="127" t="s">
        <v>2</v>
      </c>
      <c r="M224" s="126"/>
      <c r="N224" s="108"/>
    </row>
    <row r="225" spans="1:14" x14ac:dyDescent="0.25">
      <c r="A225" s="20"/>
      <c r="B225" s="2"/>
      <c r="C225" s="2"/>
      <c r="D225" s="2"/>
      <c r="E225" s="2"/>
      <c r="F225" s="2"/>
      <c r="G225" s="2"/>
      <c r="H225" s="2"/>
      <c r="I225" s="2"/>
      <c r="J225" s="2"/>
      <c r="K225" s="2"/>
      <c r="L225" s="112"/>
      <c r="M225" s="2"/>
      <c r="N225" s="3"/>
    </row>
    <row r="226" spans="1:14" x14ac:dyDescent="0.25">
      <c r="A226" s="10" t="s">
        <v>112</v>
      </c>
      <c r="B226" s="6" t="s">
        <v>113</v>
      </c>
      <c r="C226" s="2"/>
      <c r="D226" s="2"/>
      <c r="E226" s="2"/>
      <c r="F226" s="61" t="b">
        <f>IF(F$228='Faktoren Abwasser'!$A$29,(F$227^2*'Faktoren Abwasser'!$P$29+F$227*'Faktoren Abwasser'!$Q$29+'Faktoren Abwasser'!$R$29)*F$229,IF(F$228='Faktoren Abwasser'!$A$42,(F$227^2*'Faktoren Abwasser'!$P$42+F$227*'Faktoren Abwasser'!$Q$42+'Faktoren Abwasser'!$R$42)*F$229,IF(F$228='Faktoren Abwasser'!$A$55,(F$227^2*'Faktoren Abwasser'!$P$55+F227*'Faktoren Abwasser'!$Q$55+'Faktoren Abwasser'!$R$55)*F$229,IF(F$228='Faktoren Abwasser'!$A$59,(F$227^2*'Faktoren Abwasser'!$P$59+$F227*'Faktoren Abwasser'!$Q$59+'Faktoren Abwasser'!$R$59)*F$229,IF(F$228='Faktoren Abwasser'!$A$67,(F$227^2*'Faktoren Abwasser'!$P$67+F$227*'Faktoren Abwasser'!$Q$67+'Faktoren Abwasser'!$R$67)*F$229,IF(F$228='Faktoren Abwasser'!$A$73,(F$227^2*'Faktoren Abwasser'!$P$73+F$227*'Faktoren Abwasser'!$Q$73+'Faktoren Abwasser'!$R$73)*F$229,IF(F$228='Faktoren Abwasser'!$A$79,(F$227^2*'Faktoren Abwasser'!$P$79+F$227*'Faktoren Abwasser'!$Q$79+'Faktoren Abwasser'!$R$79)*F$229,IF(F$228='Faktoren Abwasser'!$A$92,(F$227^2*'Faktoren Abwasser'!$P$92+F$227*'Faktoren Abwasser'!$Q$92+'Faktoren Abwasser'!$R$92)*F$229))))))))</f>
        <v>0</v>
      </c>
      <c r="G226" s="61" t="b">
        <f>IF(G$228='Faktoren Abwasser'!$A$29,(G$227^2*'Faktoren Abwasser'!$P$29+G$227*'Faktoren Abwasser'!$Q$29+'Faktoren Abwasser'!$R$29)*G$229,IF(G$228='Faktoren Abwasser'!$A$42,(G$227^2*'Faktoren Abwasser'!$P$42+G$227*'Faktoren Abwasser'!$Q$42+'Faktoren Abwasser'!$R$42)*G$229,IF(G$228='Faktoren Abwasser'!$A$55,(G$227^2*'Faktoren Abwasser'!$P$55+G227*'Faktoren Abwasser'!$Q$55+'Faktoren Abwasser'!$R$55)*G$229,IF(G$228='Faktoren Abwasser'!$A$59,(G$227^2*'Faktoren Abwasser'!$P$59+$F227*'Faktoren Abwasser'!$Q$59+'Faktoren Abwasser'!$R$59)*G$229,IF(G$228='Faktoren Abwasser'!$A$67,(G$227^2*'Faktoren Abwasser'!$P$67+G$227*'Faktoren Abwasser'!$Q$67+'Faktoren Abwasser'!$R$67)*G$229,IF(G$228='Faktoren Abwasser'!$A$73,(G$227^2*'Faktoren Abwasser'!$P$73+G$227*'Faktoren Abwasser'!$Q$73+'Faktoren Abwasser'!$R$73)*G$229,IF(G$228='Faktoren Abwasser'!$A$79,(G$227^2*'Faktoren Abwasser'!$P$79+G$227*'Faktoren Abwasser'!$Q$79+'Faktoren Abwasser'!$R$79)*G$229,IF(G$228='Faktoren Abwasser'!$A$92,(G$227^2*'Faktoren Abwasser'!$P$92+G$227*'Faktoren Abwasser'!$Q$92+'Faktoren Abwasser'!$R$92)*G$229))))))))</f>
        <v>0</v>
      </c>
      <c r="H226" s="61" t="b">
        <f>IF(H$228='Faktoren Abwasser'!$A$29,(H$227^2*'Faktoren Abwasser'!$P$29+H$227*'Faktoren Abwasser'!$Q$29+'Faktoren Abwasser'!$R$29)*H$229,IF(H$228='Faktoren Abwasser'!$A$42,(H$227^2*'Faktoren Abwasser'!$P$42+H$227*'Faktoren Abwasser'!$Q$42+'Faktoren Abwasser'!$R$42)*H$229,IF(H$228='Faktoren Abwasser'!$A$55,(H$227^2*'Faktoren Abwasser'!$P$55+H227*'Faktoren Abwasser'!$Q$55+'Faktoren Abwasser'!$R$55)*H$229,IF(H$228='Faktoren Abwasser'!$A$59,(H$227^2*'Faktoren Abwasser'!$P$59+$F227*'Faktoren Abwasser'!$Q$59+'Faktoren Abwasser'!$R$59)*H$229,IF(H$228='Faktoren Abwasser'!$A$67,(H$227^2*'Faktoren Abwasser'!$P$67+H$227*'Faktoren Abwasser'!$Q$67+'Faktoren Abwasser'!$R$67)*H$229,IF(H$228='Faktoren Abwasser'!$A$73,(H$227^2*'Faktoren Abwasser'!$P$73+H$227*'Faktoren Abwasser'!$Q$73+'Faktoren Abwasser'!$R$73)*H$229,IF(H$228='Faktoren Abwasser'!$A$79,(H$227^2*'Faktoren Abwasser'!$P$79+H$227*'Faktoren Abwasser'!$Q$79+'Faktoren Abwasser'!$R$79)*H$229,IF(H$228='Faktoren Abwasser'!$A$92,(H$227^2*'Faktoren Abwasser'!$P$92+H$227*'Faktoren Abwasser'!$Q$92+'Faktoren Abwasser'!$R$92)*H$229))))))))</f>
        <v>0</v>
      </c>
      <c r="I226" s="61" t="b">
        <f>IF(I$228='Faktoren Abwasser'!$A$29,(I$227^2*'Faktoren Abwasser'!$P$29+I$227*'Faktoren Abwasser'!$Q$29+'Faktoren Abwasser'!$R$29)*I$229,IF(I$228='Faktoren Abwasser'!$A$42,(I$227^2*'Faktoren Abwasser'!$P$42+I$227*'Faktoren Abwasser'!$Q$42+'Faktoren Abwasser'!$R$42)*I$229,IF(I$228='Faktoren Abwasser'!$A$55,(I$227^2*'Faktoren Abwasser'!$P$55+I227*'Faktoren Abwasser'!$Q$55+'Faktoren Abwasser'!$R$55)*I$229,IF(I$228='Faktoren Abwasser'!$A$59,(I$227^2*'Faktoren Abwasser'!$P$59+$F227*'Faktoren Abwasser'!$Q$59+'Faktoren Abwasser'!$R$59)*I$229,IF(I$228='Faktoren Abwasser'!$A$67,(I$227^2*'Faktoren Abwasser'!$P$67+I$227*'Faktoren Abwasser'!$Q$67+'Faktoren Abwasser'!$R$67)*I$229,IF(I$228='Faktoren Abwasser'!$A$73,(I$227^2*'Faktoren Abwasser'!$P$73+I$227*'Faktoren Abwasser'!$Q$73+'Faktoren Abwasser'!$R$73)*I$229,IF(I$228='Faktoren Abwasser'!$A$79,(I$227^2*'Faktoren Abwasser'!$P$79+I$227*'Faktoren Abwasser'!$Q$79+'Faktoren Abwasser'!$R$79)*I$229,IF(I$228='Faktoren Abwasser'!$A$92,(I$227^2*'Faktoren Abwasser'!$P$92+I$227*'Faktoren Abwasser'!$Q$92+'Faktoren Abwasser'!$R$92)*I$229))))))))</f>
        <v>0</v>
      </c>
      <c r="J226" s="61" t="b">
        <f>IF(J$228='Faktoren Abwasser'!$A$29,(J$227^2*'Faktoren Abwasser'!$P$29+J$227*'Faktoren Abwasser'!$Q$29+'Faktoren Abwasser'!$R$29)*J$229,IF(J$228='Faktoren Abwasser'!$A$42,(J$227^2*'Faktoren Abwasser'!$P$42+J$227*'Faktoren Abwasser'!$Q$42+'Faktoren Abwasser'!$R$42)*J$229,IF(J$228='Faktoren Abwasser'!$A$55,(J$227^2*'Faktoren Abwasser'!$P$55+J227*'Faktoren Abwasser'!$Q$55+'Faktoren Abwasser'!$R$55)*J$229,IF(J$228='Faktoren Abwasser'!$A$59,(J$227^2*'Faktoren Abwasser'!$P$59+$F227*'Faktoren Abwasser'!$Q$59+'Faktoren Abwasser'!$R$59)*J$229,IF(J$228='Faktoren Abwasser'!$A$67,(J$227^2*'Faktoren Abwasser'!$P$67+J$227*'Faktoren Abwasser'!$Q$67+'Faktoren Abwasser'!$R$67)*J$229,IF(J$228='Faktoren Abwasser'!$A$73,(J$227^2*'Faktoren Abwasser'!$P$73+J$227*'Faktoren Abwasser'!$Q$73+'Faktoren Abwasser'!$R$73)*J$229,IF(J$228='Faktoren Abwasser'!$A$79,(J$227^2*'Faktoren Abwasser'!$P$79+J$227*'Faktoren Abwasser'!$Q$79+'Faktoren Abwasser'!$R$79)*J$229,IF(J$228='Faktoren Abwasser'!$A$92,(J$227^2*'Faktoren Abwasser'!$P$92+J$227*'Faktoren Abwasser'!$Q$92+'Faktoren Abwasser'!$R$92)*J$229))))))))</f>
        <v>0</v>
      </c>
      <c r="K226" s="111">
        <f>SUM(F226:J226)</f>
        <v>0</v>
      </c>
      <c r="L226" s="112" t="s">
        <v>2</v>
      </c>
      <c r="M226" s="111"/>
      <c r="N226" s="3"/>
    </row>
    <row r="227" spans="1:14" hidden="1" x14ac:dyDescent="0.25">
      <c r="A227" s="5"/>
      <c r="B227" s="2" t="s">
        <v>114</v>
      </c>
      <c r="C227" s="2"/>
      <c r="D227" s="2"/>
      <c r="E227" s="2"/>
      <c r="F227" s="159">
        <f t="shared" ref="F227:J229" si="18">F19</f>
        <v>0</v>
      </c>
      <c r="G227" s="159">
        <f t="shared" si="18"/>
        <v>0</v>
      </c>
      <c r="H227" s="159">
        <f t="shared" si="18"/>
        <v>0</v>
      </c>
      <c r="I227" s="159">
        <f t="shared" si="18"/>
        <v>0</v>
      </c>
      <c r="J227" s="159">
        <f t="shared" si="18"/>
        <v>0</v>
      </c>
      <c r="K227" s="2"/>
      <c r="L227" s="113"/>
      <c r="M227" s="2"/>
      <c r="N227" s="3"/>
    </row>
    <row r="228" spans="1:14" hidden="1" x14ac:dyDescent="0.25">
      <c r="A228" s="5"/>
      <c r="B228" s="2" t="s">
        <v>115</v>
      </c>
      <c r="C228" s="2"/>
      <c r="D228" s="2"/>
      <c r="E228" s="2"/>
      <c r="F228" s="13">
        <f t="shared" si="18"/>
        <v>0</v>
      </c>
      <c r="G228" s="13">
        <f t="shared" si="18"/>
        <v>0</v>
      </c>
      <c r="H228" s="13">
        <f t="shared" si="18"/>
        <v>0</v>
      </c>
      <c r="I228" s="13">
        <f t="shared" si="18"/>
        <v>0</v>
      </c>
      <c r="J228" s="13">
        <f t="shared" si="18"/>
        <v>0</v>
      </c>
      <c r="K228" s="2"/>
      <c r="L228" s="113"/>
      <c r="M228" s="2"/>
      <c r="N228" s="3"/>
    </row>
    <row r="229" spans="1:14" hidden="1" x14ac:dyDescent="0.25">
      <c r="A229" s="5"/>
      <c r="B229" s="2" t="s">
        <v>116</v>
      </c>
      <c r="C229" s="2"/>
      <c r="D229" s="2"/>
      <c r="E229" s="2"/>
      <c r="F229" s="165">
        <f t="shared" si="18"/>
        <v>0</v>
      </c>
      <c r="G229" s="165">
        <f t="shared" si="18"/>
        <v>0</v>
      </c>
      <c r="H229" s="165">
        <f t="shared" si="18"/>
        <v>0</v>
      </c>
      <c r="I229" s="165">
        <f t="shared" si="18"/>
        <v>0</v>
      </c>
      <c r="J229" s="165">
        <f t="shared" si="18"/>
        <v>0</v>
      </c>
      <c r="K229" s="106">
        <f>SUM(F229:J229)</f>
        <v>0</v>
      </c>
      <c r="L229" s="112" t="s">
        <v>9</v>
      </c>
      <c r="M229" s="2"/>
      <c r="N229" s="3"/>
    </row>
    <row r="230" spans="1:14" x14ac:dyDescent="0.25">
      <c r="A230" s="5"/>
      <c r="B230" s="2"/>
      <c r="C230" s="2"/>
      <c r="D230" s="2"/>
      <c r="E230" s="2"/>
      <c r="F230" s="13"/>
      <c r="G230" s="13"/>
      <c r="H230" s="13"/>
      <c r="I230" s="13"/>
      <c r="J230" s="13"/>
      <c r="K230" s="2"/>
      <c r="L230" s="113"/>
      <c r="M230" s="2"/>
      <c r="N230" s="3"/>
    </row>
    <row r="231" spans="1:14" x14ac:dyDescent="0.25">
      <c r="A231" s="10" t="s">
        <v>117</v>
      </c>
      <c r="B231" s="6" t="s">
        <v>118</v>
      </c>
      <c r="C231" s="2"/>
      <c r="D231" s="2"/>
      <c r="E231" s="2"/>
      <c r="F231" s="61" t="b">
        <f>IF(F$228='Faktoren Abwasser'!$A$29,(F$227^2*'Faktoren Abwasser'!$P$29+F$227*'Faktoren Abwasser'!$Q$29+'Faktoren Abwasser'!$R$29)*F$229/1000*'Faktoren Abwasser'!$B$155*F$232,IF(F$228='Faktoren Abwasser'!$A$42,(F$227^2*'Faktoren Abwasser'!$P$42+F$227*'Faktoren Abwasser'!$Q$42+'Faktoren Abwasser'!$R$42)*F$229/1000*'Faktoren Abwasser'!$B$155*F$232,IF(F$228='Faktoren Abwasser'!$A$55,(F$227^2*'Faktoren Abwasser'!$P$55+F227*'Faktoren Abwasser'!$Q$55+'Faktoren Abwasser'!$R$55)*F$229/1000*'Faktoren Abwasser'!$B$155*F$232,IF(F$228='Faktoren Abwasser'!$A$59,(F$227^2*'Faktoren Abwasser'!$P$59+$F227*'Faktoren Abwasser'!$Q$59+'Faktoren Abwasser'!$R$59)*F$229/1000*'Faktoren Abwasser'!$B$155*F$232,IF(F$228='Faktoren Abwasser'!$A$67,(F$227^2*'Faktoren Abwasser'!$P$67+F$227*'Faktoren Abwasser'!$Q$67+'Faktoren Abwasser'!$R$67)*F$229/1000*'Faktoren Abwasser'!$B$155*F$232,IF(F$228='Faktoren Abwasser'!$A$73,(F$227^2*'Faktoren Abwasser'!$P$73+F$227*'Faktoren Abwasser'!$Q$73+'Faktoren Abwasser'!$R$73)*F$229/1000*'Faktoren Abwasser'!$B$155*F$232,IF(F$228='Faktoren Abwasser'!$A$79,(F$227^2*'Faktoren Abwasser'!$P$79+F$227*'Faktoren Abwasser'!$Q$79+'Faktoren Abwasser'!$R$79)*F$229/1000*'Faktoren Abwasser'!$B$155*F$232,IF(F$228='Faktoren Abwasser'!$A$92,(F$227^2*'Faktoren Abwasser'!$P$92+F$227*'Faktoren Abwasser'!$Q$92+'Faktoren Abwasser'!$R$92)*F$229/1000*'Faktoren Abwasser'!$B$155*F$232))))))))</f>
        <v>0</v>
      </c>
      <c r="G231" s="61" t="b">
        <f>IF(G$228='Faktoren Abwasser'!$A$29,(G$227^2*'Faktoren Abwasser'!$P$29+G$227*'Faktoren Abwasser'!$Q$29+'Faktoren Abwasser'!$R$29)*G$229/1000*'Faktoren Abwasser'!$B$155*G$232,IF(G$228='Faktoren Abwasser'!$A$42,(G$227^2*'Faktoren Abwasser'!$P$42+G$227*'Faktoren Abwasser'!$Q$42+'Faktoren Abwasser'!$R$42)*G$229/1000*'Faktoren Abwasser'!$B$155*G$232,IF(G$228='Faktoren Abwasser'!$A$55,(G$227^2*'Faktoren Abwasser'!$P$55+G227*'Faktoren Abwasser'!$Q$55+'Faktoren Abwasser'!$R$55)*G$229/1000*'Faktoren Abwasser'!$B$155*G$232,IF(G$228='Faktoren Abwasser'!$A$59,(G$227^2*'Faktoren Abwasser'!$P$59+$F227*'Faktoren Abwasser'!$Q$59+'Faktoren Abwasser'!$R$59)*G$229/1000*'Faktoren Abwasser'!$B$155*G$232,IF(G$228='Faktoren Abwasser'!$A$67,(G$227^2*'Faktoren Abwasser'!$P$67+G$227*'Faktoren Abwasser'!$Q$67+'Faktoren Abwasser'!$R$67)*G$229/1000*'Faktoren Abwasser'!$B$155*G$232,IF(G$228='Faktoren Abwasser'!$A$73,(G$227^2*'Faktoren Abwasser'!$P$73+G$227*'Faktoren Abwasser'!$Q$73+'Faktoren Abwasser'!$R$73)*G$229/1000*'Faktoren Abwasser'!$B$155*G$232,IF(G$228='Faktoren Abwasser'!$A$79,(G$227^2*'Faktoren Abwasser'!$P$79+G$227*'Faktoren Abwasser'!$Q$79+'Faktoren Abwasser'!$R$79)*G$229/1000*'Faktoren Abwasser'!$B$155*G$232,IF(G$228='Faktoren Abwasser'!$A$92,(G$227^2*'Faktoren Abwasser'!$P$92+G$227*'Faktoren Abwasser'!$Q$92+'Faktoren Abwasser'!$R$92)*G$229/1000*'Faktoren Abwasser'!$B$155*G$232))))))))</f>
        <v>0</v>
      </c>
      <c r="H231" s="61" t="b">
        <f>IF(H$228='Faktoren Abwasser'!$A$29,(H$227^2*'Faktoren Abwasser'!$P$29+H$227*'Faktoren Abwasser'!$Q$29+'Faktoren Abwasser'!$R$29)*H$229/1000*'Faktoren Abwasser'!$B$155*H$232,IF(H$228='Faktoren Abwasser'!$A$42,(H$227^2*'Faktoren Abwasser'!$P$42+H$227*'Faktoren Abwasser'!$Q$42+'Faktoren Abwasser'!$R$42)*H$229/1000*'Faktoren Abwasser'!$B$155*H$232,IF(H$228='Faktoren Abwasser'!$A$55,(H$227^2*'Faktoren Abwasser'!$P$55+H227*'Faktoren Abwasser'!$Q$55+'Faktoren Abwasser'!$R$55)*H$229/1000*'Faktoren Abwasser'!$B$155*H$232,IF(H$228='Faktoren Abwasser'!$A$59,(H$227^2*'Faktoren Abwasser'!$P$59+$F227*'Faktoren Abwasser'!$Q$59+'Faktoren Abwasser'!$R$59)*H$229/1000*'Faktoren Abwasser'!$B$155*H$232,IF(H$228='Faktoren Abwasser'!$A$67,(H$227^2*'Faktoren Abwasser'!$P$67+H$227*'Faktoren Abwasser'!$Q$67+'Faktoren Abwasser'!$R$67)*H$229/1000*'Faktoren Abwasser'!$B$155*H$232,IF(H$228='Faktoren Abwasser'!$A$73,(H$227^2*'Faktoren Abwasser'!$P$73+H$227*'Faktoren Abwasser'!$Q$73+'Faktoren Abwasser'!$R$73)*H$229/1000*'Faktoren Abwasser'!$B$155*H$232,IF(H$228='Faktoren Abwasser'!$A$79,(H$227^2*'Faktoren Abwasser'!$P$79+H$227*'Faktoren Abwasser'!$Q$79+'Faktoren Abwasser'!$R$79)*H$229/1000*'Faktoren Abwasser'!$B$155*H$232,IF(H$228='Faktoren Abwasser'!$A$92,(H$227^2*'Faktoren Abwasser'!$P$92+H$227*'Faktoren Abwasser'!$Q$92+'Faktoren Abwasser'!$R$92)*H$229/1000*'Faktoren Abwasser'!$B$155*H$232))))))))</f>
        <v>0</v>
      </c>
      <c r="I231" s="61" t="b">
        <f>IF(I$228='Faktoren Abwasser'!$A$29,(I$227^2*'Faktoren Abwasser'!$P$29+I$227*'Faktoren Abwasser'!$Q$29+'Faktoren Abwasser'!$R$29)*I$229/1000*'Faktoren Abwasser'!$B$155*I$232,IF(I$228='Faktoren Abwasser'!$A$42,(I$227^2*'Faktoren Abwasser'!$P$42+I$227*'Faktoren Abwasser'!$Q$42+'Faktoren Abwasser'!$R$42)*I$229/1000*'Faktoren Abwasser'!$B$155*I$232,IF(I$228='Faktoren Abwasser'!$A$55,(I$227^2*'Faktoren Abwasser'!$P$55+I227*'Faktoren Abwasser'!$Q$55+'Faktoren Abwasser'!$R$55)*I$229/1000*'Faktoren Abwasser'!$B$155*I$232,IF(I$228='Faktoren Abwasser'!$A$59,(I$227^2*'Faktoren Abwasser'!$P$59+$F227*'Faktoren Abwasser'!$Q$59+'Faktoren Abwasser'!$R$59)*I$229/1000*'Faktoren Abwasser'!$B$155*I$232,IF(I$228='Faktoren Abwasser'!$A$67,(I$227^2*'Faktoren Abwasser'!$P$67+I$227*'Faktoren Abwasser'!$Q$67+'Faktoren Abwasser'!$R$67)*I$229/1000*'Faktoren Abwasser'!$B$155*I$232,IF(I$228='Faktoren Abwasser'!$A$73,(I$227^2*'Faktoren Abwasser'!$P$73+I$227*'Faktoren Abwasser'!$Q$73+'Faktoren Abwasser'!$R$73)*I$229/1000*'Faktoren Abwasser'!$B$155*I$232,IF(I$228='Faktoren Abwasser'!$A$79,(I$227^2*'Faktoren Abwasser'!$P$79+I$227*'Faktoren Abwasser'!$Q$79+'Faktoren Abwasser'!$R$79)*I$229/1000*'Faktoren Abwasser'!$B$155*I$232,IF(I$228='Faktoren Abwasser'!$A$92,(I$227^2*'Faktoren Abwasser'!$P$92+I$227*'Faktoren Abwasser'!$Q$92+'Faktoren Abwasser'!$R$92)*I$229/1000*'Faktoren Abwasser'!$B$155*I$232))))))))</f>
        <v>0</v>
      </c>
      <c r="J231" s="61" t="b">
        <f>IF(J$228='Faktoren Abwasser'!$A$29,(J$227^2*'Faktoren Abwasser'!$P$29+J$227*'Faktoren Abwasser'!$Q$29+'Faktoren Abwasser'!$R$29)*J$229/1000*'Faktoren Abwasser'!$B$155*J$232,IF(J$228='Faktoren Abwasser'!$A$42,(J$227^2*'Faktoren Abwasser'!$P$42+J$227*'Faktoren Abwasser'!$Q$42+'Faktoren Abwasser'!$R$42)*J$229/1000*'Faktoren Abwasser'!$B$155*J$232,IF(J$228='Faktoren Abwasser'!$A$55,(J$227^2*'Faktoren Abwasser'!$P$55+J227*'Faktoren Abwasser'!$Q$55+'Faktoren Abwasser'!$R$55)*J$229/1000*'Faktoren Abwasser'!$B$155*J$232,IF(J$228='Faktoren Abwasser'!$A$59,(J$227^2*'Faktoren Abwasser'!$P$59+$F227*'Faktoren Abwasser'!$Q$59+'Faktoren Abwasser'!$R$59)*J$229/1000*'Faktoren Abwasser'!$B$155*J$232,IF(J$228='Faktoren Abwasser'!$A$67,(J$227^2*'Faktoren Abwasser'!$P$67+J$227*'Faktoren Abwasser'!$Q$67+'Faktoren Abwasser'!$R$67)*J$229/1000*'Faktoren Abwasser'!$B$155*J$232,IF(J$228='Faktoren Abwasser'!$A$73,(J$227^2*'Faktoren Abwasser'!$P$73+J$227*'Faktoren Abwasser'!$Q$73+'Faktoren Abwasser'!$R$73)*J$229/1000*'Faktoren Abwasser'!$B$155*J$232,IF(J$228='Faktoren Abwasser'!$A$79,(J$227^2*'Faktoren Abwasser'!$P$79+J$227*'Faktoren Abwasser'!$Q$79+'Faktoren Abwasser'!$R$79)*J$229/1000*'Faktoren Abwasser'!$B$155*J$232,IF(J$228='Faktoren Abwasser'!$A$92,(J$227^2*'Faktoren Abwasser'!$P$92+J$227*'Faktoren Abwasser'!$Q$92+'Faktoren Abwasser'!$R$92)*J$229/1000*'Faktoren Abwasser'!$B$155*J$232))))))))</f>
        <v>0</v>
      </c>
      <c r="K231" s="111">
        <f>SUM(F231:J231)</f>
        <v>0</v>
      </c>
      <c r="L231" s="112" t="s">
        <v>2</v>
      </c>
      <c r="M231" s="111"/>
      <c r="N231" s="3"/>
    </row>
    <row r="232" spans="1:14" x14ac:dyDescent="0.25">
      <c r="A232" s="5"/>
      <c r="B232" s="2" t="s">
        <v>119</v>
      </c>
      <c r="C232" s="2"/>
      <c r="D232" s="2"/>
      <c r="E232" s="2"/>
      <c r="F232" s="22"/>
      <c r="G232" s="22"/>
      <c r="H232" s="22"/>
      <c r="I232" s="22"/>
      <c r="J232" s="22"/>
      <c r="K232" s="111"/>
      <c r="L232" s="112" t="s">
        <v>53</v>
      </c>
      <c r="M232" s="111"/>
      <c r="N232" s="3"/>
    </row>
    <row r="233" spans="1:14" x14ac:dyDescent="0.25">
      <c r="A233" s="5"/>
      <c r="B233" s="2"/>
      <c r="C233" s="2"/>
      <c r="D233" s="2"/>
      <c r="E233" s="2"/>
      <c r="F233" s="13"/>
      <c r="G233" s="13"/>
      <c r="H233" s="13"/>
      <c r="I233" s="13"/>
      <c r="J233" s="13"/>
      <c r="K233" s="2"/>
      <c r="L233" s="113"/>
      <c r="M233" s="2"/>
      <c r="N233" s="3"/>
    </row>
    <row r="234" spans="1:14" x14ac:dyDescent="0.25">
      <c r="A234" s="10" t="s">
        <v>120</v>
      </c>
      <c r="B234" s="6" t="s">
        <v>121</v>
      </c>
      <c r="C234" s="2"/>
      <c r="D234" s="2"/>
      <c r="E234" s="2"/>
      <c r="F234" s="61" t="b">
        <f>IF(F17='Dropdown Menüs'!$A$6,F21*'Faktoren Abwasser'!$B$168*'Faktoren Abwasser'!$B$161*'Faktoren Abwasser'!$B$6,IF(F17='Dropdown Menüs'!A7,F21*'Faktoren Abwasser'!$B$190*'Faktoren Abwasser'!$B$191*'Faktoren Abwasser'!$B$6))</f>
        <v>0</v>
      </c>
      <c r="G234" s="61" t="b">
        <f>IF(G17='Dropdown Menüs'!$A$6,G21*'Faktoren Abwasser'!$B$168*'Faktoren Abwasser'!$B$161*'Faktoren Abwasser'!$B$6,IF(G17='Dropdown Menüs'!B7,G21*'Faktoren Abwasser'!$B$190*'Faktoren Abwasser'!$B$191*'Faktoren Abwasser'!$B$6))</f>
        <v>0</v>
      </c>
      <c r="H234" s="61" t="b">
        <f>IF(H17='Dropdown Menüs'!$A$6,H21*'Faktoren Abwasser'!$B$168*'Faktoren Abwasser'!$B$161*'Faktoren Abwasser'!$B$6,IF(H17='Dropdown Menüs'!C6,H21*'Faktoren Abwasser'!$B$190*'Faktoren Abwasser'!$B$191*'Faktoren Abwasser'!$B$6))</f>
        <v>0</v>
      </c>
      <c r="I234" s="61" t="b">
        <f>IF(I17='Dropdown Menüs'!$A$6,I21*'Faktoren Abwasser'!$B$168*'Faktoren Abwasser'!$B$161*'Faktoren Abwasser'!$B$6,IF(I17='Dropdown Menüs'!D7,I21*'Faktoren Abwasser'!$B$190*'Faktoren Abwasser'!$B$191*'Faktoren Abwasser'!$B$6))</f>
        <v>0</v>
      </c>
      <c r="J234" s="61" t="b">
        <f>IF(J17='Dropdown Menüs'!$A$6,J21*'Faktoren Abwasser'!$B$168*'Faktoren Abwasser'!$B$161*'Faktoren Abwasser'!$B$6,IF(J17='Dropdown Menüs'!E7,J21*'Faktoren Abwasser'!$B$190*'Faktoren Abwasser'!$B$191*'Faktoren Abwasser'!$B$6))</f>
        <v>0</v>
      </c>
      <c r="K234" s="111">
        <f>SUM(F234:J234)</f>
        <v>0</v>
      </c>
      <c r="L234" s="112" t="s">
        <v>2</v>
      </c>
      <c r="M234" s="111"/>
      <c r="N234" s="3"/>
    </row>
    <row r="235" spans="1:14" x14ac:dyDescent="0.25">
      <c r="A235" s="5"/>
      <c r="B235" s="2" t="s">
        <v>6</v>
      </c>
      <c r="C235" s="2"/>
      <c r="D235" s="2"/>
      <c r="E235" s="2"/>
      <c r="F235" s="13">
        <f>F17</f>
        <v>0</v>
      </c>
      <c r="G235" s="13">
        <f>G17</f>
        <v>0</v>
      </c>
      <c r="H235" s="13">
        <f>H17</f>
        <v>0</v>
      </c>
      <c r="I235" s="13">
        <f>I17</f>
        <v>0</v>
      </c>
      <c r="J235" s="13">
        <f>J17</f>
        <v>0</v>
      </c>
      <c r="K235" s="111"/>
      <c r="L235" s="112"/>
      <c r="M235" s="111"/>
      <c r="N235" s="3"/>
    </row>
    <row r="236" spans="1:14" x14ac:dyDescent="0.25">
      <c r="A236" s="5"/>
      <c r="B236" s="2"/>
      <c r="C236" s="2"/>
      <c r="D236" s="2"/>
      <c r="E236" s="2"/>
      <c r="F236" s="13"/>
      <c r="G236" s="13"/>
      <c r="H236" s="13"/>
      <c r="I236" s="13"/>
      <c r="J236" s="13"/>
      <c r="K236" s="111"/>
      <c r="L236" s="112"/>
      <c r="M236" s="111"/>
      <c r="N236" s="3"/>
    </row>
    <row r="237" spans="1:14" x14ac:dyDescent="0.25">
      <c r="A237" s="21" t="s">
        <v>122</v>
      </c>
      <c r="B237" s="124" t="s">
        <v>123</v>
      </c>
      <c r="C237" s="97"/>
      <c r="D237" s="97"/>
      <c r="E237" s="97"/>
      <c r="F237" s="164">
        <f t="shared" ref="F237:K237" si="19">F239+F263+F266</f>
        <v>0</v>
      </c>
      <c r="G237" s="164">
        <f t="shared" si="19"/>
        <v>0</v>
      </c>
      <c r="H237" s="164">
        <f t="shared" si="19"/>
        <v>0</v>
      </c>
      <c r="I237" s="164">
        <f t="shared" si="19"/>
        <v>0</v>
      </c>
      <c r="J237" s="164">
        <f t="shared" si="19"/>
        <v>0</v>
      </c>
      <c r="K237" s="166">
        <f t="shared" si="19"/>
        <v>0</v>
      </c>
      <c r="L237" s="127" t="s">
        <v>2</v>
      </c>
      <c r="M237" s="126"/>
      <c r="N237" s="108"/>
    </row>
    <row r="238" spans="1:14" x14ac:dyDescent="0.25">
      <c r="A238" s="5"/>
      <c r="B238" s="2"/>
      <c r="C238" s="2"/>
      <c r="D238" s="2"/>
      <c r="E238" s="2"/>
      <c r="F238" s="13"/>
      <c r="G238" s="13"/>
      <c r="H238" s="13"/>
      <c r="I238" s="13"/>
      <c r="J238" s="13"/>
      <c r="K238" s="111"/>
      <c r="L238" s="112"/>
      <c r="M238" s="111"/>
      <c r="N238" s="3"/>
    </row>
    <row r="239" spans="1:14" x14ac:dyDescent="0.25">
      <c r="A239" s="10" t="s">
        <v>124</v>
      </c>
      <c r="B239" s="6" t="s">
        <v>125</v>
      </c>
      <c r="C239" s="2"/>
      <c r="D239" s="2"/>
      <c r="E239" s="2"/>
      <c r="F239" s="167">
        <f>SUM(F255:F259)</f>
        <v>0</v>
      </c>
      <c r="G239" s="167">
        <f>SUM(G255:G259)</f>
        <v>0</v>
      </c>
      <c r="H239" s="167" cm="1">
        <f t="array" ref="H239">SUM(IF(ISNUMBER(H255:H259),H255:H259))</f>
        <v>0</v>
      </c>
      <c r="I239" s="167" cm="1">
        <f t="array" ref="I239">SUM(IF(ISNUMBER(I255:I259),I255:I259))</f>
        <v>0</v>
      </c>
      <c r="J239" s="167" cm="1">
        <f t="array" ref="J239">SUM(IF(ISNUMBER(J255:J259),J255:J259))</f>
        <v>0</v>
      </c>
      <c r="K239" s="111" cm="1">
        <f t="array" ref="K239">SUM(IF(ISNUMBER(F239:J239),F239:J239))</f>
        <v>0</v>
      </c>
      <c r="L239" s="112" t="s">
        <v>2</v>
      </c>
      <c r="M239" s="111"/>
      <c r="N239" s="3"/>
    </row>
    <row r="240" spans="1:14" x14ac:dyDescent="0.25">
      <c r="A240" s="10"/>
      <c r="B240" s="2" t="s">
        <v>126</v>
      </c>
      <c r="C240" s="2"/>
      <c r="D240" s="2"/>
      <c r="E240" s="2"/>
      <c r="F240" s="22"/>
      <c r="G240" s="22"/>
      <c r="H240" s="22"/>
      <c r="I240" s="168"/>
      <c r="J240" s="168"/>
      <c r="K240" s="2"/>
      <c r="L240" s="112" t="s">
        <v>127</v>
      </c>
      <c r="M240" s="2"/>
      <c r="N240" s="3"/>
    </row>
    <row r="241" spans="1:14" x14ac:dyDescent="0.25">
      <c r="A241" s="10"/>
      <c r="B241" s="2" t="s">
        <v>128</v>
      </c>
      <c r="C241" s="2"/>
      <c r="D241" s="6"/>
      <c r="E241" s="2"/>
      <c r="F241" s="11"/>
      <c r="G241" s="11"/>
      <c r="H241" s="11"/>
      <c r="I241" s="11"/>
      <c r="J241" s="11"/>
      <c r="K241" s="2"/>
      <c r="L241" s="112"/>
      <c r="M241" s="2"/>
      <c r="N241" s="3"/>
    </row>
    <row r="242" spans="1:14" x14ac:dyDescent="0.25">
      <c r="A242" s="10"/>
      <c r="B242" s="2" t="s">
        <v>131</v>
      </c>
      <c r="C242" s="2"/>
      <c r="D242" s="2"/>
      <c r="E242" s="2"/>
      <c r="F242" s="137"/>
      <c r="G242" s="137"/>
      <c r="H242" s="11"/>
      <c r="I242" s="11"/>
      <c r="J242" s="11"/>
      <c r="K242" s="2"/>
      <c r="L242" s="112" t="s">
        <v>9</v>
      </c>
      <c r="M242" s="2"/>
      <c r="N242" s="3"/>
    </row>
    <row r="243" spans="1:14" x14ac:dyDescent="0.25">
      <c r="A243" s="10"/>
      <c r="B243" s="2" t="s">
        <v>431</v>
      </c>
      <c r="C243" s="2"/>
      <c r="D243" s="2"/>
      <c r="E243" s="2"/>
      <c r="F243" s="137"/>
      <c r="G243" s="137"/>
      <c r="H243" s="137"/>
      <c r="I243" s="137"/>
      <c r="J243" s="137"/>
      <c r="K243" s="2"/>
      <c r="L243" s="112"/>
      <c r="M243" s="2"/>
      <c r="N243" s="121" t="s">
        <v>432</v>
      </c>
    </row>
    <row r="244" spans="1:14" x14ac:dyDescent="0.25">
      <c r="A244" s="10"/>
      <c r="B244" s="2" t="s">
        <v>132</v>
      </c>
      <c r="C244" s="2"/>
      <c r="D244" s="2"/>
      <c r="E244" s="2"/>
      <c r="F244" s="169">
        <f>F247</f>
        <v>0</v>
      </c>
      <c r="G244" s="169">
        <f t="shared" ref="G244:J244" si="20">G247</f>
        <v>0</v>
      </c>
      <c r="H244" s="169">
        <f t="shared" si="20"/>
        <v>0</v>
      </c>
      <c r="I244" s="169">
        <f t="shared" si="20"/>
        <v>0</v>
      </c>
      <c r="J244" s="169">
        <f t="shared" si="20"/>
        <v>0</v>
      </c>
      <c r="K244" s="2"/>
      <c r="L244" s="112" t="s">
        <v>133</v>
      </c>
      <c r="M244" s="2"/>
      <c r="N244" s="3"/>
    </row>
    <row r="245" spans="1:14" x14ac:dyDescent="0.25">
      <c r="A245" s="10"/>
      <c r="B245" s="2"/>
      <c r="C245" s="2"/>
      <c r="D245" s="2"/>
      <c r="E245" s="2"/>
      <c r="F245" s="169"/>
      <c r="G245" s="169"/>
      <c r="H245" s="169"/>
      <c r="I245" s="169"/>
      <c r="J245" s="169"/>
      <c r="K245" s="2"/>
      <c r="L245" s="112"/>
      <c r="M245" s="2"/>
      <c r="N245" s="3"/>
    </row>
    <row r="246" spans="1:14" x14ac:dyDescent="0.25">
      <c r="A246" s="10"/>
      <c r="B246" s="2"/>
      <c r="C246" s="2"/>
      <c r="D246" s="2"/>
      <c r="E246" s="2"/>
      <c r="F246" s="62"/>
      <c r="G246" s="62"/>
      <c r="H246" s="62"/>
      <c r="I246" s="62"/>
      <c r="J246" s="62"/>
      <c r="K246" s="2"/>
      <c r="L246" s="113"/>
      <c r="M246" s="2"/>
      <c r="N246" s="3"/>
    </row>
    <row r="247" spans="1:14" x14ac:dyDescent="0.25">
      <c r="A247" s="10"/>
      <c r="B247" s="143" t="s">
        <v>134</v>
      </c>
      <c r="C247" s="144"/>
      <c r="D247" s="144"/>
      <c r="E247" s="144"/>
      <c r="F247" s="170">
        <f>SUM(F248:F252)</f>
        <v>0</v>
      </c>
      <c r="G247" s="170">
        <f>SUM(G248:G252)</f>
        <v>0</v>
      </c>
      <c r="H247" s="170">
        <f>SUM(H248:H252)</f>
        <v>0</v>
      </c>
      <c r="I247" s="170">
        <f>SUM(I248:I252)</f>
        <v>0</v>
      </c>
      <c r="J247" s="170">
        <f>SUM(J248:J252)</f>
        <v>0</v>
      </c>
      <c r="K247" s="171" cm="1">
        <f t="array" ref="K247">SUM(IF(ISNUMBER(F247:J247),F247:J247))</f>
        <v>0</v>
      </c>
      <c r="L247" s="147" t="s">
        <v>133</v>
      </c>
      <c r="M247" s="111"/>
      <c r="N247" s="121"/>
    </row>
    <row r="248" spans="1:14" x14ac:dyDescent="0.25">
      <c r="A248" s="10"/>
      <c r="B248" s="144" t="s">
        <v>135</v>
      </c>
      <c r="C248" s="144"/>
      <c r="D248" s="144"/>
      <c r="E248" s="144"/>
      <c r="F248" s="172" cm="1">
        <f t="array" ref="F248">_xlfn.LET(
_xlpm.Quelle,F$243,
_xlpm.Spalte,_xlfn.IFS(
_xlpm.Quelle="Tilia",2,
_xlpm.Quelle="Berding Beton",3,
_xlpm.Quelle="Eigene Eingabe",4,
TRUE,0
),
IF(
OR(F$240="",F$240=0,_xlpm.Spalte=0),
0,
F$240*INDEX('Faktoren Abwasser'!$A:$D,307,_xlpm.Spalte)
)
)</f>
        <v>0</v>
      </c>
      <c r="G248" s="172" cm="1">
        <f t="array" ref="G248">_xlfn.LET(
_xlpm.Quelle,G$243,
_xlpm.Spalte,_xlfn.IFS(
_xlpm.Quelle="Tilia",2,
_xlpm.Quelle="Berding Beton",3,
_xlpm.Quelle="Eigene Eingabe",4,
TRUE,0
),
IF(
OR(G$240="",G$240=0,_xlpm.Spalte=0),
0,
G$240*INDEX('Faktoren Abwasser'!$A:$D,307,_xlpm.Spalte)
)
)</f>
        <v>0</v>
      </c>
      <c r="H248" s="172" cm="1">
        <f t="array" ref="H248">_xlfn.LET(
_xlpm.Quelle,H$243,
_xlpm.Spalte,_xlfn.IFS(
_xlpm.Quelle="Tilia",2,
_xlpm.Quelle="Berding Beton",3,
_xlpm.Quelle="Eigene Eingabe",4,
TRUE,0
),
IF(
OR(H$240="",H$240=0,_xlpm.Spalte=0),
0,
H$240*INDEX('Faktoren Abwasser'!$A:$D,307,_xlpm.Spalte)
)
)</f>
        <v>0</v>
      </c>
      <c r="I248" s="172" cm="1">
        <f t="array" ref="I248">_xlfn.LET(
_xlpm.Quelle,I$243,
_xlpm.Spalte,_xlfn.IFS(
_xlpm.Quelle="Tilia",2,
_xlpm.Quelle="Berding Beton",3,
_xlpm.Quelle="Eigene Eingabe",4,
TRUE,0
),
IF(
OR(I$240="",I$240=0,_xlpm.Spalte=0),
0,
I$240*INDEX('Faktoren Abwasser'!$A:$D,307,_xlpm.Spalte)
)
)</f>
        <v>0</v>
      </c>
      <c r="J248" s="172" cm="1">
        <f t="array" ref="J248">_xlfn.LET(
_xlpm.Quelle,J$243,
_xlpm.Spalte,_xlfn.IFS(
_xlpm.Quelle="Tilia",2,
_xlpm.Quelle="Berding Beton",3,
_xlpm.Quelle="Eigene Eingabe",4,
TRUE,0
),
IF(
OR(J$240="",J$240=0,_xlpm.Spalte=0),
0,
J$240*INDEX('Faktoren Abwasser'!$A:$D,307,_xlpm.Spalte)
)
)</f>
        <v>0</v>
      </c>
      <c r="K248" s="171" cm="1">
        <f t="array" ref="K248">SUM(IF(ISNUMBER(F248:J248),F248:J248))</f>
        <v>0</v>
      </c>
      <c r="L248" s="147" t="s">
        <v>133</v>
      </c>
      <c r="M248" s="111"/>
      <c r="N248" s="3"/>
    </row>
    <row r="249" spans="1:14" x14ac:dyDescent="0.25">
      <c r="A249" s="10"/>
      <c r="B249" s="144" t="s">
        <v>136</v>
      </c>
      <c r="C249" s="144"/>
      <c r="D249" s="144"/>
      <c r="E249" s="144"/>
      <c r="F249" s="172">
        <f>IF(OR(F$240="",F$240=0),0,F$240*'Hilfsrechnungen&amp;Baustelleninfo'!B47)</f>
        <v>0</v>
      </c>
      <c r="G249" s="172">
        <f>IF(OR(G$240="",G$240=0),0,G$240*'Hilfsrechnungen&amp;Baustelleninfo'!C47)</f>
        <v>0</v>
      </c>
      <c r="H249" s="172">
        <f>IF(OR(H$240="",H$240=0),0,H$240*'Hilfsrechnungen&amp;Baustelleninfo'!D47)</f>
        <v>0</v>
      </c>
      <c r="I249" s="172">
        <f>IF(OR(I$240="",I$240=0),0,I$240*'Hilfsrechnungen&amp;Baustelleninfo'!E47)</f>
        <v>0</v>
      </c>
      <c r="J249" s="172">
        <f>IF(OR(J$240="",J$240=0),0,J$240*'Hilfsrechnungen&amp;Baustelleninfo'!F47)</f>
        <v>0</v>
      </c>
      <c r="K249" s="171" cm="1">
        <f t="array" ref="K249">SUM(IF(ISNUMBER(F249:J249),F249:J249))</f>
        <v>0</v>
      </c>
      <c r="L249" s="147" t="s">
        <v>133</v>
      </c>
      <c r="M249" s="111"/>
      <c r="N249" s="3"/>
    </row>
    <row r="250" spans="1:14" x14ac:dyDescent="0.25">
      <c r="A250" s="10"/>
      <c r="B250" s="144" t="s">
        <v>137</v>
      </c>
      <c r="C250" s="144"/>
      <c r="D250" s="144"/>
      <c r="E250" s="144"/>
      <c r="F250" s="172" cm="1">
        <f t="array" ref="F250">_xlfn.LET(
_xlpm.DN,F$241,
_xlpm.Quelle,F$243,
_xlpm.Basis,_xlfn.IFS(
_xlpm.DN="DN 1000",230,
_xlpm.DN="DN 1200",255,
_xlpm.DN="DN 1500",280,
TRUE,0
),
_xlpm.Spalte,_xlfn.IFS(
_xlpm.Quelle="Tilia",2,
_xlpm.Quelle="Berding Beton",3,
_xlpm.Quelle="Eigene Eingabe",4,
TRUE,0
),
IF(
OR(F$240="",F$240=0,_xlpm.Basis=0,_xlpm.Spalte=0),
0,
F$240*INDEX('Faktoren Abwasser'!$A:$D,_xlpm.Basis+7,_xlpm.Spalte)
)
)</f>
        <v>0</v>
      </c>
      <c r="G250" s="172" cm="1">
        <f t="array" ref="G250">_xlfn.LET(
_xlpm.DN,G$241,
_xlpm.Quelle,G$243,
_xlpm.Basis,_xlfn.IFS(
_xlpm.DN="DN 1000",230,
_xlpm.DN="DN 1200",255,
_xlpm.DN="DN 1500",280,
TRUE,0
),
_xlpm.Spalte,_xlfn.IFS(
_xlpm.Quelle="Tilia",2,
_xlpm.Quelle="Berding Beton",3,
_xlpm.Quelle="Eigene Eingabe",4,
TRUE,0
),
IF(
OR(G$240="",G$240=0,_xlpm.Basis=0,_xlpm.Spalte=0),
0,
G$240*INDEX('Faktoren Abwasser'!$A:$D,_xlpm.Basis+7,_xlpm.Spalte)
)
)</f>
        <v>0</v>
      </c>
      <c r="H250" s="172" cm="1">
        <f t="array" ref="H250">_xlfn.LET(
_xlpm.DN,H$241,
_xlpm.Quelle,H$243,
_xlpm.Basis,_xlfn.IFS(
_xlpm.DN="DN 1000",230,
_xlpm.DN="DN 1200",255,
_xlpm.DN="DN 1500",280,
TRUE,0
),
_xlpm.Spalte,_xlfn.IFS(
_xlpm.Quelle="Tilia",2,
_xlpm.Quelle="Berding Beton",3,
_xlpm.Quelle="Eigene Eingabe",4,
TRUE,0
),
IF(
OR(H$240="",H$240=0,_xlpm.Basis=0,_xlpm.Spalte=0),
0,
H$240*INDEX('Faktoren Abwasser'!$A:$D,_xlpm.Basis+7,_xlpm.Spalte)
)
)</f>
        <v>0</v>
      </c>
      <c r="I250" s="172" cm="1">
        <f t="array" ref="I250">_xlfn.LET(
_xlpm.DN,I$241,
_xlpm.Quelle,I$243,
_xlpm.Basis,_xlfn.IFS(
_xlpm.DN="DN 1000",230,
_xlpm.DN="DN 1200",255,
_xlpm.DN="DN 1500",280,
TRUE,0
),
_xlpm.Spalte,_xlfn.IFS(
_xlpm.Quelle="Tilia",2,
_xlpm.Quelle="Berding Beton",3,
_xlpm.Quelle="Eigene Eingabe",4,
TRUE,0
),
IF(
OR(I$240="",I$240=0,_xlpm.Basis=0,_xlpm.Spalte=0),
0,
I$240*INDEX('Faktoren Abwasser'!$A:$D,_xlpm.Basis+7,_xlpm.Spalte)
)
)</f>
        <v>0</v>
      </c>
      <c r="J250" s="172" cm="1">
        <f t="array" ref="J250">_xlfn.LET(
_xlpm.DN,J$241,
_xlpm.Quelle,J$243,
_xlpm.Basis,_xlfn.IFS(
_xlpm.DN="DN 1000",230,
_xlpm.DN="DN 1200",255,
_xlpm.DN="DN 1500",280,
TRUE,0
),
_xlpm.Spalte,_xlfn.IFS(
_xlpm.Quelle="Tilia",2,
_xlpm.Quelle="Berding Beton",3,
_xlpm.Quelle="Eigene Eingabe",4,
TRUE,0
),
IF(
OR(J$240="",J$240=0,_xlpm.Basis=0,_xlpm.Spalte=0),
0,
J$240*INDEX('Faktoren Abwasser'!$A:$D,_xlpm.Basis+7,_xlpm.Spalte)
)
)</f>
        <v>0</v>
      </c>
      <c r="K250" s="171" cm="1">
        <f t="array" ref="K250">SUM(IF(ISNUMBER(F250:J250),F250:J250))</f>
        <v>0</v>
      </c>
      <c r="L250" s="147" t="s">
        <v>133</v>
      </c>
      <c r="M250" s="111"/>
      <c r="N250" s="3"/>
    </row>
    <row r="251" spans="1:14" x14ac:dyDescent="0.25">
      <c r="A251" s="10"/>
      <c r="B251" s="144" t="s">
        <v>138</v>
      </c>
      <c r="C251" s="144"/>
      <c r="D251" s="144"/>
      <c r="E251" s="144"/>
      <c r="F251" s="172">
        <f>IF(OR(F$240="",F$240=0),0,F$240*'Hilfsrechnungen&amp;Baustelleninfo'!B42)</f>
        <v>0</v>
      </c>
      <c r="G251" s="172">
        <f>IF(OR(G$240="",G$240=0),0,G$240*'Hilfsrechnungen&amp;Baustelleninfo'!C42)</f>
        <v>0</v>
      </c>
      <c r="H251" s="172">
        <f>IF(OR(H$240="",H$240=0),0,H$240*'Hilfsrechnungen&amp;Baustelleninfo'!D42)</f>
        <v>0</v>
      </c>
      <c r="I251" s="172">
        <f>IF(OR(I$240="",I$240=0),0,I$240*'Hilfsrechnungen&amp;Baustelleninfo'!E42)</f>
        <v>0</v>
      </c>
      <c r="J251" s="172">
        <f>IF(OR(J$240="",J$240=0),0,J$240*'Hilfsrechnungen&amp;Baustelleninfo'!F42)</f>
        <v>0</v>
      </c>
      <c r="K251" s="171" cm="1">
        <f t="array" ref="K251">SUM(IF(ISNUMBER(F251:J251),F251:J251))</f>
        <v>0</v>
      </c>
      <c r="L251" s="147" t="s">
        <v>133</v>
      </c>
      <c r="M251" s="111"/>
      <c r="N251" s="3"/>
    </row>
    <row r="252" spans="1:14" x14ac:dyDescent="0.25">
      <c r="A252" s="10"/>
      <c r="B252" s="144" t="s">
        <v>139</v>
      </c>
      <c r="C252" s="144"/>
      <c r="D252" s="144"/>
      <c r="E252" s="144"/>
      <c r="F252" s="172" cm="1">
        <f t="array" ref="F252">_xlfn.LET(
_xlpm.DN,F$241,
_xlpm.Quelle,F$243,
_xlpm.Basis,_xlfn.IFS(
_xlpm.DN="DN 1000",230,
_xlpm.DN="DN 1200",255,
_xlpm.DN="DN 1500",280,
TRUE,0
),
_xlpm.Spalte,_xlfn.IFS(
_xlpm.Quelle="Tilia",2,
_xlpm.Quelle="Berding Beton",3,
_xlpm.Quelle="Eigene Eingabe",4,
TRUE,0
),
IF(
OR(F$240="",F$240=0,_xlpm.Basis=0,_xlpm.Spalte=0),
0,
F$240*INDEX('Faktoren Abwasser'!$A:$D,_xlpm.Basis+2,_xlpm.Spalte)
)
)</f>
        <v>0</v>
      </c>
      <c r="G252" s="172" cm="1">
        <f t="array" ref="G252">_xlfn.LET(
_xlpm.DN,G$241,
_xlpm.Quelle,G$243,
_xlpm.Basis,_xlfn.IFS(
_xlpm.DN="DN 1000",230,
_xlpm.DN="DN 1200",255,
_xlpm.DN="DN 1500",280,
TRUE,0
),
_xlpm.Spalte,_xlfn.IFS(
_xlpm.Quelle="Tilia",2,
_xlpm.Quelle="Berding Beton",3,
_xlpm.Quelle="Eigene Eingabe",4,
TRUE,0
),
IF(
OR(G$240="",G$240=0,_xlpm.Basis=0,_xlpm.Spalte=0),
0,
G$240*INDEX('Faktoren Abwasser'!$A:$D,_xlpm.Basis+2,_xlpm.Spalte)
)
)</f>
        <v>0</v>
      </c>
      <c r="H252" s="172" cm="1">
        <f t="array" ref="H252">_xlfn.LET(
_xlpm.DN,H$241,
_xlpm.Quelle,H$243,
_xlpm.Basis,_xlfn.IFS(
_xlpm.DN="DN 1000",230,
_xlpm.DN="DN 1200",255,
_xlpm.DN="DN 1500",280,
TRUE,0
),
_xlpm.Spalte,_xlfn.IFS(
_xlpm.Quelle="Tilia",2,
_xlpm.Quelle="Berding Beton",3,
_xlpm.Quelle="Eigene Eingabe",4,
TRUE,0
),
IF(
OR(H$240="",H$240=0,_xlpm.Basis=0,_xlpm.Spalte=0),
0,
H$240*INDEX('Faktoren Abwasser'!$A:$D,_xlpm.Basis+2,_xlpm.Spalte)
)
)</f>
        <v>0</v>
      </c>
      <c r="I252" s="172" cm="1">
        <f t="array" ref="I252">_xlfn.LET(
_xlpm.DN,I$241,
_xlpm.Quelle,I$243,
_xlpm.Basis,_xlfn.IFS(
_xlpm.DN="DN 1000",230,
_xlpm.DN="DN 1200",255,
_xlpm.DN="DN 1500",280,
TRUE,0
),
_xlpm.Spalte,_xlfn.IFS(
_xlpm.Quelle="Tilia",2,
_xlpm.Quelle="Berding Beton",3,
_xlpm.Quelle="Eigene Eingabe",4,
TRUE,0
),
IF(
OR(I$240="",I$240=0,_xlpm.Basis=0,_xlpm.Spalte=0),
0,
I$240*INDEX('Faktoren Abwasser'!$A:$D,_xlpm.Basis+2,_xlpm.Spalte)
)
)</f>
        <v>0</v>
      </c>
      <c r="J252" s="172" cm="1">
        <f t="array" ref="J252">_xlfn.LET(
_xlpm.DN,J$241,
_xlpm.Quelle,J$243,
_xlpm.Basis,_xlfn.IFS(
_xlpm.DN="DN 1000",230,
_xlpm.DN="DN 1200",255,
_xlpm.DN="DN 1500",280,
TRUE,0
),
_xlpm.Spalte,_xlfn.IFS(
_xlpm.Quelle="Tilia",2,
_xlpm.Quelle="Berding Beton",3,
_xlpm.Quelle="Eigene Eingabe",4,
TRUE,0
),
IF(
OR(J$240="",J$240=0,_xlpm.Basis=0,_xlpm.Spalte=0),
0,
J$240*INDEX('Faktoren Abwasser'!$A:$D,_xlpm.Basis+2,_xlpm.Spalte)
)
)</f>
        <v>0</v>
      </c>
      <c r="K252" s="171" cm="1">
        <f t="array" ref="K252">SUM(IF(ISNUMBER(F252:J252),F252:J252))</f>
        <v>0</v>
      </c>
      <c r="L252" s="147" t="s">
        <v>133</v>
      </c>
      <c r="M252" s="111"/>
      <c r="N252" s="3"/>
    </row>
    <row r="253" spans="1:14" x14ac:dyDescent="0.25">
      <c r="A253" s="5"/>
      <c r="B253" s="2"/>
      <c r="C253" s="2"/>
      <c r="D253" s="2"/>
      <c r="E253" s="2"/>
      <c r="F253" s="13"/>
      <c r="G253" s="13"/>
      <c r="H253" s="13"/>
      <c r="I253" s="13"/>
      <c r="J253" s="13"/>
      <c r="K253" s="2"/>
      <c r="L253" s="113"/>
      <c r="M253" s="2"/>
      <c r="N253" s="3"/>
    </row>
    <row r="254" spans="1:14" x14ac:dyDescent="0.25">
      <c r="A254" s="5"/>
      <c r="B254" s="6" t="s">
        <v>140</v>
      </c>
      <c r="C254" s="2"/>
      <c r="D254" s="2"/>
      <c r="E254" s="2"/>
      <c r="F254" s="61"/>
      <c r="G254" s="61"/>
      <c r="H254" s="61"/>
      <c r="I254" s="61"/>
      <c r="J254" s="61"/>
      <c r="K254" s="111"/>
      <c r="L254" s="112" t="s">
        <v>2</v>
      </c>
      <c r="M254" s="111"/>
      <c r="N254" s="3"/>
    </row>
    <row r="255" spans="1:14" x14ac:dyDescent="0.25">
      <c r="A255" s="10"/>
      <c r="B255" s="2" t="s">
        <v>135</v>
      </c>
      <c r="C255" s="2"/>
      <c r="D255" s="2"/>
      <c r="E255" s="2"/>
      <c r="F255" s="62" cm="1">
        <f t="array" ref="F255">_xlfn.LET(
_xlpm.Quelle,F$243,
_xlpm.Spalte,_xlfn.IFS(
_xlpm.Quelle="Tilia",2,
_xlpm.Quelle="Berding Beton",3,
_xlpm.Quelle="Eigene Eingabe",4,
TRUE,0
),
IF(
OR(F$248=0,_xlpm.Spalte=0),
0,
F$248*INDEX('Faktoren Abwasser'!$A:$D,308,_xlpm.Spalte)
)
)</f>
        <v>0</v>
      </c>
      <c r="G255" s="62" cm="1">
        <f t="array" ref="G255">_xlfn.LET(
_xlpm.Quelle,G$243,
_xlpm.Spalte,_xlfn.IFS(
_xlpm.Quelle="Tilia",2,
_xlpm.Quelle="Berding Beton",3,
_xlpm.Quelle="Eigene Eingabe",4,
TRUE,0
),
IF(
OR(G$248=0,_xlpm.Spalte=0),
0,
G$248*INDEX('Faktoren Abwasser'!$A:$D,308,_xlpm.Spalte)
)
)</f>
        <v>0</v>
      </c>
      <c r="H255" s="62" cm="1">
        <f t="array" ref="H255">_xlfn.LET(
_xlpm.Quelle,H$243,
_xlpm.Spalte,_xlfn.IFS(
_xlpm.Quelle="Tilia",2,
_xlpm.Quelle="Berding Beton",3,
_xlpm.Quelle="Eigene Eingabe",4,
TRUE,0
),
IF(
OR(H$248=0,_xlpm.Spalte=0),
0,
H$248*INDEX('Faktoren Abwasser'!$A:$D,308,_xlpm.Spalte)
)
)</f>
        <v>0</v>
      </c>
      <c r="I255" s="62" cm="1">
        <f t="array" ref="I255">_xlfn.LET(
_xlpm.Quelle,I$243,
_xlpm.Spalte,_xlfn.IFS(
_xlpm.Quelle="Tilia",2,
_xlpm.Quelle="Berding Beton",3,
_xlpm.Quelle="Eigene Eingabe",4,
TRUE,0
),
IF(
OR(I$248=0,_xlpm.Spalte=0),
0,
I$248*INDEX('Faktoren Abwasser'!$A:$D,308,_xlpm.Spalte)
)
)</f>
        <v>0</v>
      </c>
      <c r="J255" s="62" cm="1">
        <f t="array" ref="J255">_xlfn.LET(
_xlpm.Quelle,J$243,
_xlpm.Spalte,_xlfn.IFS(
_xlpm.Quelle="Tilia",2,
_xlpm.Quelle="Berding Beton",3,
_xlpm.Quelle="Eigene Eingabe",4,
TRUE,0
),
IF(
OR(J$248=0,_xlpm.Spalte=0),
0,
J$248*INDEX('Faktoren Abwasser'!$A:$D,308,_xlpm.Spalte)
)
)</f>
        <v>0</v>
      </c>
      <c r="K255" s="111" cm="1">
        <f t="array" ref="K255">SUM(IF(ISNUMBER(F255:J255),F255:J255))</f>
        <v>0</v>
      </c>
      <c r="L255" s="112" t="s">
        <v>2</v>
      </c>
      <c r="M255" s="111"/>
      <c r="N255" s="3"/>
    </row>
    <row r="256" spans="1:14" x14ac:dyDescent="0.25">
      <c r="A256" s="10"/>
      <c r="B256" s="2" t="s">
        <v>136</v>
      </c>
      <c r="C256" s="2"/>
      <c r="D256" s="2"/>
      <c r="E256" s="2"/>
      <c r="F256" s="95" cm="1">
        <f t="array" ref="F256">IF(F$249=0,0,F$249*_xlfn.IFS(F$243="Tilia",'Faktoren Abwasser'!$B$312,F$243="Berding Beton",'Faktoren Abwasser'!$C$312,F$243="Eigene Eingabe",'Faktoren Abwasser'!$D$312))</f>
        <v>0</v>
      </c>
      <c r="G256" s="95" cm="1">
        <f t="array" ref="G256">IF(G$249=0,0,G$249*_xlfn.IFS(G$243="Tilia",'Faktoren Abwasser'!$B$312,G$243="Berding Beton",'Faktoren Abwasser'!$C$312,G$243="Eigene Eingabe",'Faktoren Abwasser'!$D$312))</f>
        <v>0</v>
      </c>
      <c r="H256" s="95" cm="1">
        <f t="array" ref="H256">IF(H$249=0,0,H$249*_xlfn.IFS(H$243="Tilia",'Faktoren Abwasser'!$B$312,H$243="Berding Beton",'Faktoren Abwasser'!$C$312,H$243="Eigene Eingabe",'Faktoren Abwasser'!$D$312))</f>
        <v>0</v>
      </c>
      <c r="I256" s="95" cm="1">
        <f t="array" ref="I256">IF(I$249=0,0,I$249*_xlfn.IFS(I$243="Tilia",'Faktoren Abwasser'!$B$312,I$243="Berding Beton",'Faktoren Abwasser'!$C$312,I$243="Eigene Eingabe",'Faktoren Abwasser'!$D$312))</f>
        <v>0</v>
      </c>
      <c r="J256" s="95" cm="1">
        <f t="array" ref="J256">IF(J$249=0,0,J$249*_xlfn.IFS(J$243="Tilia",'Faktoren Abwasser'!$B$312,J$243="Berding Beton",'Faktoren Abwasser'!$C$312,J$243="Eigene Eingabe",'Faktoren Abwasser'!$D$312))</f>
        <v>0</v>
      </c>
      <c r="K256" s="111" cm="1">
        <f t="array" ref="K256">SUM(IF(ISNUMBER(F256:J256),F256:J256))</f>
        <v>0</v>
      </c>
      <c r="L256" s="112" t="s">
        <v>2</v>
      </c>
      <c r="M256" s="111"/>
      <c r="N256" s="3"/>
    </row>
    <row r="257" spans="1:18" x14ac:dyDescent="0.25">
      <c r="A257" s="10"/>
      <c r="B257" s="2" t="s">
        <v>137</v>
      </c>
      <c r="C257" s="2"/>
      <c r="D257" s="2"/>
      <c r="E257" s="2"/>
      <c r="F257" s="62" cm="1">
        <f t="array" ref="F257">IF(F$250=0,0,F$250*_xlfn.IFS(F$243="Tilia",'Faktoren Abwasser'!$B$264,F$243="Berding Beton",'Faktoren Abwasser'!$C$264,F$243="Eigene Eingabe",'Faktoren Abwasser'!$D$264))</f>
        <v>0</v>
      </c>
      <c r="G257" s="62" cm="1">
        <f t="array" ref="G257">IF(G$250=0,0,G$250*_xlfn.IFS(G$243="Tilia",'Faktoren Abwasser'!$B$264,G$243="Berding Beton",'Faktoren Abwasser'!$C$264,G$243="Eigene Eingabe",'Faktoren Abwasser'!$D$264))</f>
        <v>0</v>
      </c>
      <c r="H257" s="62" cm="1">
        <f t="array" ref="H257">IF(H$250=0,0,H$250*_xlfn.IFS(H$243="Tilia",'Faktoren Abwasser'!$B$264,H$243="Berding Beton",'Faktoren Abwasser'!$C$264,H$243="Eigene Eingabe",'Faktoren Abwasser'!$D$264))</f>
        <v>0</v>
      </c>
      <c r="I257" s="62" cm="1">
        <f t="array" ref="I257">IF(I$250=0,0,I$250*_xlfn.IFS(I$243="Tilia",'Faktoren Abwasser'!$B$264,I$243="Berding Beton",'Faktoren Abwasser'!$C$264,I$243="Eigene Eingabe",'Faktoren Abwasser'!$D$264))</f>
        <v>0</v>
      </c>
      <c r="J257" s="62" cm="1">
        <f t="array" ref="J257">IF(J$250=0,0,J$250*_xlfn.IFS(J$243="Tilia",'Faktoren Abwasser'!$B$264,J$243="Berding Beton",'Faktoren Abwasser'!$C$264,J$243="Eigene Eingabe",'Faktoren Abwasser'!$D$264))</f>
        <v>0</v>
      </c>
      <c r="K257" s="111" cm="1">
        <f t="array" ref="K257">SUM(IF(ISNUMBER(F257:J257),F257:J257))</f>
        <v>0</v>
      </c>
      <c r="L257" s="112" t="s">
        <v>2</v>
      </c>
      <c r="M257" s="111"/>
      <c r="N257" s="3"/>
    </row>
    <row r="258" spans="1:18" x14ac:dyDescent="0.25">
      <c r="A258" s="10"/>
      <c r="B258" s="2" t="s">
        <v>138</v>
      </c>
      <c r="C258" s="2"/>
      <c r="D258" s="2"/>
      <c r="E258" s="2"/>
      <c r="F258" s="62" cm="1">
        <f t="array" ref="F258">IF(F$251=0,0,F$251*INDEX('Faktoren Abwasser'!$B:$D,_xlfn.IFS(F$241="DN 1000",242,F$241="DN 1200",267,F$241="DN 1500",292),_xlfn.IFS(F$243="Tilia",1,F$243="Berding Beton",2,F$243="Eigene Eingabe",3)))</f>
        <v>0</v>
      </c>
      <c r="G258" s="62" cm="1">
        <f t="array" ref="G258">IF(G$251=0,0,G$251*INDEX('Faktoren Abwasser'!$B:$D,_xlfn.IFS(G$241="DN 1000",242,G$241="DN 1200",267,G$241="DN 1500",292),_xlfn.IFS(G$243="Tilia",1,G$243="Berding Beton",2,G$243="Eigene Eingabe",3)))</f>
        <v>0</v>
      </c>
      <c r="H258" s="62" cm="1">
        <f t="array" ref="H258">IF(H$251=0,0,H$251*INDEX('Faktoren Abwasser'!$B:$D,_xlfn.IFS(H$241="DN 1000",242,H$241="DN 1200",267,H$241="DN 1500",292),_xlfn.IFS(H$243="Tilia",1,H$243="Berding Beton",2,H$243="Eigene Eingabe",3)))</f>
        <v>0</v>
      </c>
      <c r="I258" s="62" cm="1">
        <f t="array" ref="I258">IF(I$251=0,0,I$251*INDEX('Faktoren Abwasser'!$B:$D,_xlfn.IFS(I$241="DN 1000",242,I$241="DN 1200",267,I$241="DN 1500",292),_xlfn.IFS(I$243="Tilia",1,I$243="Berding Beton",2,I$243="Eigene Eingabe",3)))</f>
        <v>0</v>
      </c>
      <c r="J258" s="62" cm="1">
        <f t="array" ref="J258">IF(J$251=0,0,J$251*INDEX('Faktoren Abwasser'!$B:$D,_xlfn.IFS(J$241="DN 1000",242,J$241="DN 1200",267,J$241="DN 1500",292),_xlfn.IFS(J$243="Tilia",1,J$243="Berding Beton",2,J$243="Eigene Eingabe",3)))</f>
        <v>0</v>
      </c>
      <c r="K258" s="111" cm="1">
        <f t="array" ref="K258">SUM(IF(ISNUMBER(F258:J258),F258:J258))</f>
        <v>0</v>
      </c>
      <c r="L258" s="112" t="s">
        <v>2</v>
      </c>
      <c r="M258" s="111"/>
      <c r="N258" s="3"/>
    </row>
    <row r="259" spans="1:18" x14ac:dyDescent="0.25">
      <c r="A259" s="10"/>
      <c r="B259" s="2" t="s">
        <v>139</v>
      </c>
      <c r="C259" s="2"/>
      <c r="D259" s="2"/>
      <c r="E259" s="2"/>
      <c r="F259" s="62" cm="1">
        <f t="array" ref="F259">IF(F$252=0,0,F$252*INDEX('Faktoren Abwasser'!$B:$D,_xlfn.IFS(F$241="DN 1000",234,F$241="DN 1200",259,F$241="DN 1500",284),_xlfn.IFS(F$243="Tilia",1,F$243="Berding Beton",2,F$243="Eigene Eingabe",3)))</f>
        <v>0</v>
      </c>
      <c r="G259" s="62" cm="1">
        <f t="array" ref="G259">IF(G$252=0,0,G$252*INDEX('Faktoren Abwasser'!$B:$D,_xlfn.IFS(G$241="DN 1000",234,G$241="DN 1200",259,G$241="DN 1500",284),_xlfn.IFS(G$243="Tilia",1,G$243="Berding Beton",2,G$243="Eigene Eingabe",3)))</f>
        <v>0</v>
      </c>
      <c r="H259" s="62" cm="1">
        <f t="array" ref="H259">IF(H$252=0,0,H$252*INDEX('Faktoren Abwasser'!$B:$D,_xlfn.IFS(H$241="DN 1000",234,H$241="DN 1200",259,H$241="DN 1500",284),_xlfn.IFS(H$243="Tilia",1,H$243="Berding Beton",2,H$243="Eigene Eingabe",3)))</f>
        <v>0</v>
      </c>
      <c r="I259" s="62" cm="1">
        <f t="array" ref="I259">IF(I$252=0,0,I$252*INDEX('Faktoren Abwasser'!$B:$D,_xlfn.IFS(I$241="DN 1000",234,I$241="DN 1200",259,I$241="DN 1500",284),_xlfn.IFS(I$243="Tilia",1,I$243="Berding Beton",2,I$243="Eigene Eingabe",3)))</f>
        <v>0</v>
      </c>
      <c r="J259" s="62" cm="1">
        <f t="array" ref="J259">IF(J$252=0,0,J$252*INDEX('Faktoren Abwasser'!$B:$D,_xlfn.IFS(J$241="DN 1000",234,J$241="DN 1200",259,J$241="DN 1500",284),_xlfn.IFS(J$243="Tilia",1,J$243="Berding Beton",2,J$243="Eigene Eingabe",3)))</f>
        <v>0</v>
      </c>
      <c r="K259" s="111" cm="1">
        <f t="array" ref="K259">SUM(IF(ISNUMBER(F259:J259),F259:J259))</f>
        <v>0</v>
      </c>
      <c r="L259" s="112" t="s">
        <v>2</v>
      </c>
      <c r="M259" s="111"/>
      <c r="N259" s="3"/>
    </row>
    <row r="260" spans="1:18" x14ac:dyDescent="0.25">
      <c r="A260" s="10"/>
      <c r="B260" s="2"/>
      <c r="C260" s="2"/>
      <c r="D260" s="2"/>
      <c r="E260" s="2"/>
      <c r="F260" s="13"/>
      <c r="G260" s="13"/>
      <c r="H260" s="13"/>
      <c r="I260" s="13"/>
      <c r="J260" s="13"/>
      <c r="K260" s="2"/>
      <c r="L260" s="113"/>
      <c r="M260" s="2"/>
      <c r="N260" s="3"/>
    </row>
    <row r="261" spans="1:18" x14ac:dyDescent="0.25">
      <c r="A261" s="5"/>
      <c r="B261" s="2"/>
      <c r="C261" s="2"/>
      <c r="D261" s="2"/>
      <c r="E261" s="2"/>
      <c r="F261" s="13"/>
      <c r="G261" s="13"/>
      <c r="H261" s="13"/>
      <c r="I261" s="13"/>
      <c r="J261" s="13"/>
      <c r="K261" s="2"/>
      <c r="L261" s="113"/>
      <c r="M261" s="2"/>
      <c r="N261" s="3"/>
    </row>
    <row r="262" spans="1:18" x14ac:dyDescent="0.25">
      <c r="A262" s="5"/>
      <c r="B262" s="2"/>
      <c r="C262" s="2"/>
      <c r="D262" s="2"/>
      <c r="E262" s="2"/>
      <c r="F262" s="13"/>
      <c r="G262" s="13"/>
      <c r="H262" s="13"/>
      <c r="I262" s="13"/>
      <c r="J262" s="13"/>
      <c r="K262" s="2"/>
      <c r="L262" s="113"/>
      <c r="M262" s="2"/>
      <c r="N262" s="3"/>
    </row>
    <row r="263" spans="1:18" x14ac:dyDescent="0.25">
      <c r="A263" s="10" t="s">
        <v>141</v>
      </c>
      <c r="B263" s="6" t="s">
        <v>142</v>
      </c>
      <c r="C263" s="2"/>
      <c r="D263" s="2"/>
      <c r="E263" s="2"/>
      <c r="F263" s="61">
        <f>F244/1000*F264*'Faktoren Abwasser'!$B$155</f>
        <v>0</v>
      </c>
      <c r="G263" s="61">
        <f>G244/1000*G264*'Faktoren Abwasser'!$B$155</f>
        <v>0</v>
      </c>
      <c r="H263" s="61">
        <f>H244/1000*H264*'Faktoren Abwasser'!$B$155</f>
        <v>0</v>
      </c>
      <c r="I263" s="61">
        <f>I244/1000*I264*'Faktoren Abwasser'!$B$155</f>
        <v>0</v>
      </c>
      <c r="J263" s="61">
        <f>J244/1000*J264*'Faktoren Abwasser'!$B$155</f>
        <v>0</v>
      </c>
      <c r="K263" s="111" cm="1">
        <f t="array" ref="K263">SUM(IF(ISNUMBER(F263:J263),F263:J263))</f>
        <v>0</v>
      </c>
      <c r="L263" s="112" t="s">
        <v>2</v>
      </c>
      <c r="M263" s="111"/>
      <c r="N263" s="3"/>
    </row>
    <row r="264" spans="1:18" x14ac:dyDescent="0.25">
      <c r="A264" s="5"/>
      <c r="B264" s="2" t="s">
        <v>119</v>
      </c>
      <c r="C264" s="2"/>
      <c r="D264" s="2"/>
      <c r="E264" s="2"/>
      <c r="F264" s="22"/>
      <c r="G264" s="22"/>
      <c r="H264" s="22"/>
      <c r="I264" s="22"/>
      <c r="J264" s="22"/>
      <c r="K264" s="2"/>
      <c r="L264" s="112" t="s">
        <v>53</v>
      </c>
      <c r="M264" s="2"/>
      <c r="N264" s="3"/>
    </row>
    <row r="265" spans="1:18" x14ac:dyDescent="0.25">
      <c r="A265" s="5"/>
      <c r="B265" s="2"/>
      <c r="C265" s="2"/>
      <c r="D265" s="2"/>
      <c r="E265" s="2"/>
      <c r="F265" s="13"/>
      <c r="G265" s="13"/>
      <c r="H265" s="13"/>
      <c r="I265" s="13"/>
      <c r="J265" s="13"/>
      <c r="K265" s="2"/>
      <c r="L265" s="113"/>
      <c r="M265" s="2"/>
      <c r="N265" s="3"/>
    </row>
    <row r="266" spans="1:18" x14ac:dyDescent="0.25">
      <c r="A266" s="10" t="s">
        <v>143</v>
      </c>
      <c r="B266" s="6" t="s">
        <v>144</v>
      </c>
      <c r="C266" s="2"/>
      <c r="D266" s="2"/>
      <c r="E266" s="2"/>
      <c r="F266" s="61">
        <f>IF(F$240=0,0,F$240*('Faktoren Abwasser'!$B$169+SUM('Hilfsrechnungen&amp;Baustelleninfo'!B$39:B$41)*'Faktoren Abwasser'!$B$170+'Faktoren Abwasser'!$B$171+'Faktoren Abwasser'!$B$172)*'Faktoren Abwasser'!$B$161*'Faktoren Abwasser'!$B$6)</f>
        <v>0</v>
      </c>
      <c r="G266" s="61">
        <f>IF(G$240=0,0,G$240*('Faktoren Abwasser'!$B$169+SUM('Hilfsrechnungen&amp;Baustelleninfo'!C$39:C$41)*'Faktoren Abwasser'!$B$170+'Faktoren Abwasser'!$B$171+'Faktoren Abwasser'!$B$172)*'Faktoren Abwasser'!$B$161*'Faktoren Abwasser'!$B$6)</f>
        <v>0</v>
      </c>
      <c r="H266" s="61">
        <f>IF(H$240=0,0,H$240*('Faktoren Abwasser'!$B$169+SUM('Hilfsrechnungen&amp;Baustelleninfo'!D$39:D$41)*'Faktoren Abwasser'!$B$170+'Faktoren Abwasser'!$B$171+'Faktoren Abwasser'!$B$172)*'Faktoren Abwasser'!$B$161*'Faktoren Abwasser'!$B$6)</f>
        <v>0</v>
      </c>
      <c r="I266" s="61">
        <f>IF(I$240=0,0,I$240*('Faktoren Abwasser'!$B$169+SUM('Hilfsrechnungen&amp;Baustelleninfo'!E$39:E$41)*'Faktoren Abwasser'!$B$170+'Faktoren Abwasser'!$B$171+'Faktoren Abwasser'!$B$172)*'Faktoren Abwasser'!$B$161*'Faktoren Abwasser'!$B$6)</f>
        <v>0</v>
      </c>
      <c r="J266" s="61">
        <f>IF(J$240=0,0,J$240*('Faktoren Abwasser'!$B$169+SUM('Hilfsrechnungen&amp;Baustelleninfo'!F$39:F$41)*'Faktoren Abwasser'!$B$170+'Faktoren Abwasser'!$B$171+'Faktoren Abwasser'!$B$172)*'Faktoren Abwasser'!$B$161*'Faktoren Abwasser'!$B$6)</f>
        <v>0</v>
      </c>
      <c r="K266" s="111" cm="1">
        <f t="array" ref="K266">SUM(IF(ISNUMBER(F266:J266),F266:J266))</f>
        <v>0</v>
      </c>
      <c r="L266" s="112" t="s">
        <v>2</v>
      </c>
      <c r="M266" s="111"/>
      <c r="N266" s="3"/>
    </row>
    <row r="267" spans="1:18" x14ac:dyDescent="0.25">
      <c r="A267" s="5"/>
      <c r="B267" s="2"/>
      <c r="C267" s="2"/>
      <c r="D267" s="2"/>
      <c r="E267" s="2"/>
      <c r="F267" s="13"/>
      <c r="G267" s="13"/>
      <c r="H267" s="13"/>
      <c r="I267" s="13"/>
      <c r="J267" s="13"/>
      <c r="K267" s="2"/>
      <c r="L267" s="113"/>
      <c r="M267" s="111"/>
      <c r="N267" s="3"/>
    </row>
    <row r="268" spans="1:18" x14ac:dyDescent="0.25">
      <c r="A268" s="21" t="s">
        <v>145</v>
      </c>
      <c r="B268" s="124" t="s">
        <v>146</v>
      </c>
      <c r="C268" s="97"/>
      <c r="D268" s="97"/>
      <c r="E268" s="97"/>
      <c r="F268" s="164">
        <f>F270+F286</f>
        <v>0</v>
      </c>
      <c r="G268" s="164">
        <f t="shared" ref="G268:J268" si="21">G270+G286</f>
        <v>0</v>
      </c>
      <c r="H268" s="164">
        <f t="shared" si="21"/>
        <v>0</v>
      </c>
      <c r="I268" s="164">
        <f t="shared" si="21"/>
        <v>0</v>
      </c>
      <c r="J268" s="164">
        <f t="shared" si="21"/>
        <v>0</v>
      </c>
      <c r="K268" s="126">
        <f>SUM(F268:J268)</f>
        <v>0</v>
      </c>
      <c r="L268" s="127" t="s">
        <v>2</v>
      </c>
      <c r="M268" s="126"/>
      <c r="N268" s="108"/>
    </row>
    <row r="269" spans="1:18" x14ac:dyDescent="0.25">
      <c r="A269" s="20"/>
      <c r="B269" s="2"/>
      <c r="C269" s="2"/>
      <c r="D269" s="2"/>
      <c r="E269" s="2"/>
      <c r="F269" s="2"/>
      <c r="G269" s="2"/>
      <c r="H269" s="2"/>
      <c r="I269" s="2"/>
      <c r="J269" s="2"/>
      <c r="K269" s="2"/>
      <c r="L269" s="112"/>
      <c r="M269" s="111"/>
      <c r="N269" s="3"/>
    </row>
    <row r="270" spans="1:18" x14ac:dyDescent="0.25">
      <c r="A270" s="10" t="s">
        <v>147</v>
      </c>
      <c r="B270" s="6" t="s">
        <v>148</v>
      </c>
      <c r="C270" s="2"/>
      <c r="D270" s="2"/>
      <c r="E270" s="2"/>
      <c r="F270" s="167">
        <f>F281</f>
        <v>0</v>
      </c>
      <c r="G270" s="167">
        <f t="shared" ref="G270:J270" si="22">G281</f>
        <v>0</v>
      </c>
      <c r="H270" s="167">
        <f t="shared" si="22"/>
        <v>0</v>
      </c>
      <c r="I270" s="167">
        <f t="shared" si="22"/>
        <v>0</v>
      </c>
      <c r="J270" s="167">
        <f t="shared" si="22"/>
        <v>0</v>
      </c>
      <c r="K270" s="111">
        <f>SUM(K279:K279)</f>
        <v>0</v>
      </c>
      <c r="L270" s="112" t="s">
        <v>2</v>
      </c>
      <c r="M270" s="111"/>
      <c r="N270" s="3"/>
    </row>
    <row r="271" spans="1:18" ht="14.45" customHeight="1" x14ac:dyDescent="0.25">
      <c r="A271" s="10"/>
      <c r="B271" s="2" t="s">
        <v>116</v>
      </c>
      <c r="C271" s="2"/>
      <c r="D271" s="2"/>
      <c r="E271" s="2"/>
      <c r="F271" s="22"/>
      <c r="G271" s="22"/>
      <c r="H271" s="22"/>
      <c r="I271" s="168"/>
      <c r="J271" s="168"/>
      <c r="K271" s="2"/>
      <c r="L271" s="112" t="s">
        <v>9</v>
      </c>
      <c r="M271" s="2"/>
      <c r="N271" s="3"/>
      <c r="P271" s="247"/>
      <c r="Q271" s="247"/>
      <c r="R271" s="247"/>
    </row>
    <row r="272" spans="1:18" x14ac:dyDescent="0.25">
      <c r="A272" s="10"/>
      <c r="B272" s="2" t="s">
        <v>149</v>
      </c>
      <c r="C272" s="2"/>
      <c r="D272" s="2"/>
      <c r="E272" s="2"/>
      <c r="F272" s="11"/>
      <c r="G272" s="11"/>
      <c r="H272" s="11"/>
      <c r="I272" s="11"/>
      <c r="J272" s="11"/>
      <c r="K272" s="2"/>
      <c r="L272" s="112" t="s">
        <v>9</v>
      </c>
      <c r="M272" s="2"/>
      <c r="N272" s="3"/>
      <c r="P272" s="247"/>
      <c r="Q272" s="247"/>
      <c r="R272" s="247"/>
    </row>
    <row r="273" spans="1:18" x14ac:dyDescent="0.25">
      <c r="A273" s="10"/>
      <c r="B273" s="2" t="s">
        <v>150</v>
      </c>
      <c r="C273" s="2"/>
      <c r="D273" s="2"/>
      <c r="E273" s="2"/>
      <c r="F273" s="137"/>
      <c r="G273" s="11"/>
      <c r="H273" s="11"/>
      <c r="I273" s="11"/>
      <c r="J273" s="11"/>
      <c r="K273" s="2"/>
      <c r="L273" s="112" t="s">
        <v>9</v>
      </c>
      <c r="M273" s="2"/>
      <c r="N273" s="3"/>
      <c r="P273" s="247"/>
      <c r="Q273" s="247"/>
      <c r="R273" s="247"/>
    </row>
    <row r="274" spans="1:18" x14ac:dyDescent="0.25">
      <c r="A274" s="10"/>
      <c r="B274" s="2" t="s">
        <v>151</v>
      </c>
      <c r="C274" s="2"/>
      <c r="D274" s="2"/>
      <c r="E274" s="2"/>
      <c r="F274" s="23"/>
      <c r="G274" s="11"/>
      <c r="H274" s="11"/>
      <c r="I274" s="11"/>
      <c r="J274" s="11"/>
      <c r="K274" s="2"/>
      <c r="L274" s="112" t="s">
        <v>87</v>
      </c>
      <c r="M274" s="2"/>
      <c r="N274" s="3"/>
    </row>
    <row r="275" spans="1:18" x14ac:dyDescent="0.25">
      <c r="A275" s="10"/>
      <c r="B275" s="2" t="s">
        <v>132</v>
      </c>
      <c r="C275" s="2"/>
      <c r="D275" s="2"/>
      <c r="E275" s="2"/>
      <c r="F275" s="62">
        <f>F274*'Faktoren Abwasser'!$B$135/1000</f>
        <v>0</v>
      </c>
      <c r="G275" s="62">
        <f>G274*'Faktoren Abwasser'!$B$135/1000</f>
        <v>0</v>
      </c>
      <c r="H275" s="62">
        <f>H274*'Faktoren Abwasser'!$B$135/1000</f>
        <v>0</v>
      </c>
      <c r="I275" s="62">
        <f>I274*'Faktoren Abwasser'!$B$135/1000</f>
        <v>0</v>
      </c>
      <c r="J275" s="62">
        <f>J274*'Faktoren Abwasser'!$B$135/1000</f>
        <v>0</v>
      </c>
      <c r="K275" s="2"/>
      <c r="L275" s="112" t="s">
        <v>47</v>
      </c>
      <c r="M275" s="2"/>
      <c r="N275" s="3"/>
    </row>
    <row r="276" spans="1:18" x14ac:dyDescent="0.25">
      <c r="A276" s="10"/>
      <c r="B276" s="2"/>
      <c r="C276" s="2"/>
      <c r="D276" s="2"/>
      <c r="E276" s="2"/>
      <c r="F276" s="62"/>
      <c r="G276" s="62"/>
      <c r="H276" s="62"/>
      <c r="I276" s="62"/>
      <c r="J276" s="62"/>
      <c r="K276" s="2"/>
      <c r="L276" s="113"/>
      <c r="M276" s="2"/>
      <c r="N276" s="3"/>
    </row>
    <row r="277" spans="1:18" x14ac:dyDescent="0.25">
      <c r="A277" s="5"/>
      <c r="B277" s="143" t="s">
        <v>58</v>
      </c>
      <c r="C277" s="144"/>
      <c r="D277" s="144"/>
      <c r="E277" s="144"/>
      <c r="F277" s="170">
        <f>SUM(F278:F279)</f>
        <v>0</v>
      </c>
      <c r="G277" s="170">
        <f t="shared" ref="G277:K277" si="23">SUM(G278:G279)</f>
        <v>0</v>
      </c>
      <c r="H277" s="170">
        <f t="shared" si="23"/>
        <v>0</v>
      </c>
      <c r="I277" s="170">
        <f t="shared" si="23"/>
        <v>0</v>
      </c>
      <c r="J277" s="170">
        <f t="shared" si="23"/>
        <v>0</v>
      </c>
      <c r="K277" s="173">
        <f t="shared" si="23"/>
        <v>0</v>
      </c>
      <c r="L277" s="147" t="s">
        <v>47</v>
      </c>
      <c r="M277" s="111"/>
      <c r="N277" s="3"/>
    </row>
    <row r="278" spans="1:18" x14ac:dyDescent="0.25">
      <c r="A278" s="10"/>
      <c r="B278" s="144" t="s">
        <v>152</v>
      </c>
      <c r="C278" s="144"/>
      <c r="D278" s="144"/>
      <c r="E278" s="144"/>
      <c r="F278" s="172">
        <f>F274*'Faktoren Abwasser'!$B$131/1000</f>
        <v>0</v>
      </c>
      <c r="G278" s="172">
        <f>G274*'Faktoren Abwasser'!$B$131/1000</f>
        <v>0</v>
      </c>
      <c r="H278" s="172">
        <f>H274*'Faktoren Abwasser'!$B$131/1000</f>
        <v>0</v>
      </c>
      <c r="I278" s="172">
        <f>I274*'Faktoren Abwasser'!$B$131/1000</f>
        <v>0</v>
      </c>
      <c r="J278" s="172">
        <f>J274*'Faktoren Abwasser'!$B$131/1000</f>
        <v>0</v>
      </c>
      <c r="K278" s="173">
        <f>SUM(F278:J278)</f>
        <v>0</v>
      </c>
      <c r="L278" s="147" t="s">
        <v>47</v>
      </c>
      <c r="M278" s="111"/>
      <c r="N278" s="3"/>
    </row>
    <row r="279" spans="1:18" x14ac:dyDescent="0.25">
      <c r="A279" s="10"/>
      <c r="B279" s="144" t="s">
        <v>153</v>
      </c>
      <c r="C279" s="144"/>
      <c r="D279" s="144"/>
      <c r="E279" s="144"/>
      <c r="F279" s="172">
        <f>F274*'Faktoren Abwasser'!$B$133/1000</f>
        <v>0</v>
      </c>
      <c r="G279" s="172">
        <f>G274*'Faktoren Abwasser'!$B$133/1000</f>
        <v>0</v>
      </c>
      <c r="H279" s="172">
        <f>H274*'Faktoren Abwasser'!$B$133/1000</f>
        <v>0</v>
      </c>
      <c r="I279" s="172">
        <f>I274*'Faktoren Abwasser'!$B$133/1000</f>
        <v>0</v>
      </c>
      <c r="J279" s="172">
        <f>J274*'Faktoren Abwasser'!$B$133/1000</f>
        <v>0</v>
      </c>
      <c r="K279" s="173">
        <f>SUM(F279:J279)</f>
        <v>0</v>
      </c>
      <c r="L279" s="147" t="s">
        <v>47</v>
      </c>
      <c r="M279" s="111"/>
      <c r="N279" s="3"/>
    </row>
    <row r="280" spans="1:18" x14ac:dyDescent="0.25">
      <c r="A280" s="10"/>
      <c r="B280" s="2"/>
      <c r="C280" s="2"/>
      <c r="D280" s="2"/>
      <c r="E280" s="2"/>
      <c r="F280" s="13"/>
      <c r="G280" s="13"/>
      <c r="H280" s="13"/>
      <c r="I280" s="13"/>
      <c r="J280" s="13"/>
      <c r="K280" s="2"/>
      <c r="L280" s="113"/>
      <c r="M280" s="2"/>
      <c r="N280" s="3"/>
    </row>
    <row r="281" spans="1:18" x14ac:dyDescent="0.25">
      <c r="A281" s="5"/>
      <c r="B281" s="174" t="s">
        <v>154</v>
      </c>
      <c r="C281" s="12"/>
      <c r="D281" s="12"/>
      <c r="E281" s="12"/>
      <c r="F281" s="61">
        <f>SUM(F282:F283)</f>
        <v>0</v>
      </c>
      <c r="G281" s="61">
        <f t="shared" ref="G281:J281" si="24">SUM(G282:G283)</f>
        <v>0</v>
      </c>
      <c r="H281" s="61">
        <f t="shared" si="24"/>
        <v>0</v>
      </c>
      <c r="I281" s="61">
        <f t="shared" si="24"/>
        <v>0</v>
      </c>
      <c r="J281" s="61">
        <f t="shared" si="24"/>
        <v>0</v>
      </c>
      <c r="K281" s="115">
        <f>SUM(K282:K283)</f>
        <v>0</v>
      </c>
      <c r="L281" s="112" t="s">
        <v>2</v>
      </c>
      <c r="M281" s="111"/>
      <c r="N281" s="3"/>
    </row>
    <row r="282" spans="1:18" x14ac:dyDescent="0.25">
      <c r="A282" s="10"/>
      <c r="B282" s="12" t="s">
        <v>152</v>
      </c>
      <c r="C282" s="12"/>
      <c r="D282" s="12"/>
      <c r="E282" s="12"/>
      <c r="F282" s="169">
        <f>F278*'Faktoren Abwasser'!$B$137*1000</f>
        <v>0</v>
      </c>
      <c r="G282" s="169">
        <f>G278*'Faktoren Abwasser'!$B$137*1000</f>
        <v>0</v>
      </c>
      <c r="H282" s="169">
        <f>H278*'Faktoren Abwasser'!$B$137*1000</f>
        <v>0</v>
      </c>
      <c r="I282" s="169">
        <f>I278*'Faktoren Abwasser'!$B$137*1000</f>
        <v>0</v>
      </c>
      <c r="J282" s="169">
        <f>J278*'Faktoren Abwasser'!$B$137*1000</f>
        <v>0</v>
      </c>
      <c r="K282" s="115">
        <f>SUM(F282:J282)</f>
        <v>0</v>
      </c>
      <c r="L282" s="112" t="s">
        <v>2</v>
      </c>
      <c r="M282" s="111"/>
      <c r="N282" s="3"/>
    </row>
    <row r="283" spans="1:18" x14ac:dyDescent="0.25">
      <c r="A283" s="10"/>
      <c r="B283" s="12" t="s">
        <v>153</v>
      </c>
      <c r="C283" s="12"/>
      <c r="D283" s="12"/>
      <c r="E283" s="12"/>
      <c r="F283" s="169">
        <f>F278*'Faktoren Abwasser'!$B$145*1000</f>
        <v>0</v>
      </c>
      <c r="G283" s="169">
        <f>G278*'Faktoren Abwasser'!$B$145*1000</f>
        <v>0</v>
      </c>
      <c r="H283" s="169">
        <f>H278*'Faktoren Abwasser'!$B$145*1000</f>
        <v>0</v>
      </c>
      <c r="I283" s="169">
        <f>I278*'Faktoren Abwasser'!$B$145*1000</f>
        <v>0</v>
      </c>
      <c r="J283" s="169">
        <f>J278*'Faktoren Abwasser'!$B$145*1000</f>
        <v>0</v>
      </c>
      <c r="K283" s="115">
        <f>SUM(F283:J283)</f>
        <v>0</v>
      </c>
      <c r="L283" s="112" t="s">
        <v>2</v>
      </c>
      <c r="M283" s="111"/>
      <c r="N283" s="3"/>
    </row>
    <row r="284" spans="1:18" x14ac:dyDescent="0.25">
      <c r="A284" s="5"/>
      <c r="B284" s="2"/>
      <c r="C284" s="2"/>
      <c r="D284" s="2"/>
      <c r="E284" s="2"/>
      <c r="F284" s="13"/>
      <c r="G284" s="13"/>
      <c r="H284" s="13"/>
      <c r="I284" s="13"/>
      <c r="J284" s="13"/>
      <c r="K284" s="2"/>
      <c r="L284" s="113"/>
      <c r="M284" s="2"/>
      <c r="N284" s="3"/>
    </row>
    <row r="285" spans="1:18" x14ac:dyDescent="0.25">
      <c r="A285" s="5"/>
      <c r="B285" s="2"/>
      <c r="C285" s="2"/>
      <c r="D285" s="2"/>
      <c r="E285" s="2"/>
      <c r="F285" s="13"/>
      <c r="G285" s="13"/>
      <c r="H285" s="13"/>
      <c r="I285" s="13"/>
      <c r="J285" s="13"/>
      <c r="K285" s="2"/>
      <c r="L285" s="113"/>
      <c r="M285" s="2"/>
      <c r="N285" s="3"/>
    </row>
    <row r="286" spans="1:18" x14ac:dyDescent="0.25">
      <c r="A286" s="10" t="s">
        <v>155</v>
      </c>
      <c r="B286" s="6" t="s">
        <v>156</v>
      </c>
      <c r="C286" s="2"/>
      <c r="D286" s="2"/>
      <c r="E286" s="2"/>
      <c r="F286" s="61">
        <f>F279*'Faktoren Abwasser'!$B$155*F287</f>
        <v>0</v>
      </c>
      <c r="G286" s="61">
        <f>G279*'Faktoren Abwasser'!$B$155*G287</f>
        <v>0</v>
      </c>
      <c r="H286" s="61">
        <f>H279*'Faktoren Abwasser'!$B$155*H287</f>
        <v>0</v>
      </c>
      <c r="I286" s="61">
        <f>I279*'Faktoren Abwasser'!$B$155*I287</f>
        <v>0</v>
      </c>
      <c r="J286" s="61">
        <f>J279*'Faktoren Abwasser'!$B$155*J287</f>
        <v>0</v>
      </c>
      <c r="K286" s="111">
        <f>SUM(F286:J286)</f>
        <v>0</v>
      </c>
      <c r="L286" s="112" t="s">
        <v>2</v>
      </c>
      <c r="M286" s="111"/>
      <c r="N286" s="3"/>
    </row>
    <row r="287" spans="1:18" x14ac:dyDescent="0.25">
      <c r="A287" s="5"/>
      <c r="B287" s="2" t="s">
        <v>119</v>
      </c>
      <c r="C287" s="2"/>
      <c r="D287" s="2"/>
      <c r="E287" s="2"/>
      <c r="F287" s="22"/>
      <c r="G287" s="22"/>
      <c r="H287" s="22"/>
      <c r="I287" s="22"/>
      <c r="J287" s="22"/>
      <c r="K287" s="2"/>
      <c r="L287" s="112" t="s">
        <v>53</v>
      </c>
      <c r="M287" s="2"/>
      <c r="N287" s="3"/>
    </row>
    <row r="288" spans="1:18" x14ac:dyDescent="0.25">
      <c r="A288" s="5"/>
      <c r="B288" s="2"/>
      <c r="C288" s="2"/>
      <c r="D288" s="2"/>
      <c r="E288" s="2"/>
      <c r="F288" s="109"/>
      <c r="G288" s="109"/>
      <c r="H288" s="109"/>
      <c r="I288" s="109"/>
      <c r="J288" s="109"/>
      <c r="K288" s="109"/>
      <c r="L288" s="112"/>
      <c r="M288" s="2"/>
      <c r="N288" s="3"/>
    </row>
    <row r="289" spans="1:14" x14ac:dyDescent="0.25">
      <c r="A289" s="21" t="s">
        <v>157</v>
      </c>
      <c r="B289" s="124" t="s">
        <v>158</v>
      </c>
      <c r="C289" s="97"/>
      <c r="D289" s="97"/>
      <c r="E289" s="97"/>
      <c r="F289" s="164">
        <f>F291+F296</f>
        <v>0</v>
      </c>
      <c r="G289" s="164">
        <f t="shared" ref="G289:J289" si="25">G291+G296</f>
        <v>0</v>
      </c>
      <c r="H289" s="164">
        <f t="shared" si="25"/>
        <v>0</v>
      </c>
      <c r="I289" s="164">
        <f t="shared" si="25"/>
        <v>0</v>
      </c>
      <c r="J289" s="164">
        <f t="shared" si="25"/>
        <v>0</v>
      </c>
      <c r="K289" s="126">
        <f>SUM(F289:J289)</f>
        <v>0</v>
      </c>
      <c r="L289" s="127" t="s">
        <v>2</v>
      </c>
      <c r="M289" s="97"/>
      <c r="N289" s="175"/>
    </row>
    <row r="290" spans="1:14" x14ac:dyDescent="0.25">
      <c r="A290" s="20"/>
      <c r="B290" s="2"/>
      <c r="C290" s="2"/>
      <c r="D290" s="2"/>
      <c r="E290" s="2"/>
      <c r="F290" s="2"/>
      <c r="G290" s="2"/>
      <c r="H290" s="2"/>
      <c r="I290" s="2"/>
      <c r="J290" s="2"/>
      <c r="K290" s="2"/>
      <c r="L290" s="112"/>
      <c r="M290" s="2"/>
      <c r="N290" s="3"/>
    </row>
    <row r="291" spans="1:14" x14ac:dyDescent="0.25">
      <c r="A291" s="10" t="s">
        <v>159</v>
      </c>
      <c r="B291" s="6" t="s">
        <v>160</v>
      </c>
      <c r="C291" s="2"/>
      <c r="D291" s="2"/>
      <c r="E291" s="2"/>
      <c r="F291" s="61">
        <f>(F292+F293+F294)*'Faktoren Abwasser'!$B$24</f>
        <v>0</v>
      </c>
      <c r="G291" s="61">
        <f>(G292+G293+G294)*'Faktoren Abwasser'!$B$24</f>
        <v>0</v>
      </c>
      <c r="H291" s="61">
        <f>(H292+H293+H294)*'Faktoren Abwasser'!$B$24</f>
        <v>0</v>
      </c>
      <c r="I291" s="61">
        <f>(I292+I293+I294)*'Faktoren Abwasser'!$B$24</f>
        <v>0</v>
      </c>
      <c r="J291" s="61">
        <f>(J292+J293+J294)*'Faktoren Abwasser'!$B$24</f>
        <v>0</v>
      </c>
      <c r="K291" s="111">
        <f>SUM(F291:J291)</f>
        <v>0</v>
      </c>
      <c r="L291" s="112" t="s">
        <v>2</v>
      </c>
      <c r="M291" s="2"/>
      <c r="N291" s="340" t="s">
        <v>478</v>
      </c>
    </row>
    <row r="292" spans="1:14" x14ac:dyDescent="0.25">
      <c r="A292" s="5"/>
      <c r="B292" s="2" t="s">
        <v>161</v>
      </c>
      <c r="C292" s="2"/>
      <c r="D292" s="2"/>
      <c r="E292" s="2"/>
      <c r="F292" s="55"/>
      <c r="G292" s="55"/>
      <c r="H292" s="55"/>
      <c r="I292" s="55"/>
      <c r="J292" s="55"/>
      <c r="K292" s="2"/>
      <c r="L292" s="113" t="s">
        <v>47</v>
      </c>
      <c r="M292" s="2"/>
      <c r="N292" s="340"/>
    </row>
    <row r="293" spans="1:14" x14ac:dyDescent="0.25">
      <c r="A293" s="5"/>
      <c r="B293" s="2" t="s">
        <v>162</v>
      </c>
      <c r="C293" s="2"/>
      <c r="D293" s="2"/>
      <c r="E293" s="2"/>
      <c r="F293" s="11"/>
      <c r="G293" s="11"/>
      <c r="H293" s="11"/>
      <c r="I293" s="11"/>
      <c r="J293" s="11"/>
      <c r="K293" s="2"/>
      <c r="L293" s="113" t="s">
        <v>47</v>
      </c>
      <c r="M293" s="2"/>
      <c r="N293" s="340"/>
    </row>
    <row r="294" spans="1:14" x14ac:dyDescent="0.25">
      <c r="A294" s="5"/>
      <c r="B294" s="2" t="s">
        <v>163</v>
      </c>
      <c r="C294" s="2"/>
      <c r="D294" s="2"/>
      <c r="E294" s="2"/>
      <c r="F294" s="55"/>
      <c r="G294" s="55"/>
      <c r="H294" s="55"/>
      <c r="I294" s="55"/>
      <c r="J294" s="55"/>
      <c r="K294" s="106"/>
      <c r="L294" s="177" t="s">
        <v>47</v>
      </c>
      <c r="M294" s="2"/>
      <c r="N294" s="3"/>
    </row>
    <row r="295" spans="1:14" x14ac:dyDescent="0.25">
      <c r="A295" s="5"/>
      <c r="B295" s="2"/>
      <c r="C295" s="2"/>
      <c r="D295" s="2"/>
      <c r="E295" s="2"/>
      <c r="F295" s="13"/>
      <c r="G295" s="13"/>
      <c r="H295" s="13"/>
      <c r="I295" s="13"/>
      <c r="J295" s="13"/>
      <c r="K295" s="2"/>
      <c r="L295" s="113"/>
      <c r="M295" s="2"/>
      <c r="N295" s="3"/>
    </row>
    <row r="296" spans="1:14" x14ac:dyDescent="0.25">
      <c r="A296" s="10" t="s">
        <v>164</v>
      </c>
      <c r="B296" s="6" t="s">
        <v>165</v>
      </c>
      <c r="C296" s="2"/>
      <c r="D296" s="2"/>
      <c r="E296" s="2"/>
      <c r="F296" s="61">
        <f>(F292+F293+F294)*F297*'Faktoren Abwasser'!$B$155</f>
        <v>0</v>
      </c>
      <c r="G296" s="61">
        <f>(G292+G293+G294)*G297*'Faktoren Abwasser'!$B$155</f>
        <v>0</v>
      </c>
      <c r="H296" s="61">
        <f>(H292+H293+H294)*H297*'Faktoren Abwasser'!$B$155</f>
        <v>0</v>
      </c>
      <c r="I296" s="61">
        <f>(I292+I293+I294)*I297*'Faktoren Abwasser'!$B$155</f>
        <v>0</v>
      </c>
      <c r="J296" s="61">
        <f>(J292+J293+J294)*J297*'Faktoren Abwasser'!$B$155</f>
        <v>0</v>
      </c>
      <c r="K296" s="111"/>
      <c r="L296" s="112" t="s">
        <v>2</v>
      </c>
      <c r="M296" s="2"/>
      <c r="N296" s="176"/>
    </row>
    <row r="297" spans="1:14" x14ac:dyDescent="0.25">
      <c r="A297" s="5"/>
      <c r="B297" s="2" t="s">
        <v>119</v>
      </c>
      <c r="C297" s="2"/>
      <c r="D297" s="2"/>
      <c r="E297" s="2"/>
      <c r="F297" s="22"/>
      <c r="G297" s="22"/>
      <c r="H297" s="22"/>
      <c r="I297" s="22"/>
      <c r="J297" s="22"/>
      <c r="K297" s="111"/>
      <c r="L297" s="112" t="s">
        <v>53</v>
      </c>
      <c r="M297" s="2"/>
      <c r="N297" s="176"/>
    </row>
    <row r="298" spans="1:14" x14ac:dyDescent="0.25">
      <c r="A298" s="5"/>
      <c r="B298" s="2"/>
      <c r="C298" s="2"/>
      <c r="D298" s="2"/>
      <c r="E298" s="2"/>
      <c r="F298" s="109"/>
      <c r="G298" s="109"/>
      <c r="H298" s="109"/>
      <c r="I298" s="109"/>
      <c r="J298" s="109"/>
      <c r="K298" s="111"/>
      <c r="L298" s="112"/>
      <c r="M298" s="2"/>
      <c r="N298" s="176"/>
    </row>
    <row r="299" spans="1:14" x14ac:dyDescent="0.25">
      <c r="A299" s="21" t="s">
        <v>166</v>
      </c>
      <c r="B299" s="124" t="s">
        <v>167</v>
      </c>
      <c r="C299" s="97"/>
      <c r="D299" s="97"/>
      <c r="E299" s="97"/>
      <c r="F299" s="164">
        <f>F301</f>
        <v>0</v>
      </c>
      <c r="G299" s="164">
        <f t="shared" ref="G299:J299" si="26">G301</f>
        <v>0</v>
      </c>
      <c r="H299" s="164">
        <f t="shared" si="26"/>
        <v>0</v>
      </c>
      <c r="I299" s="164">
        <f t="shared" si="26"/>
        <v>0</v>
      </c>
      <c r="J299" s="164">
        <f t="shared" si="26"/>
        <v>0</v>
      </c>
      <c r="K299" s="126">
        <f>SUM(F299:J299)</f>
        <v>0</v>
      </c>
      <c r="L299" s="127" t="s">
        <v>2</v>
      </c>
      <c r="M299" s="97"/>
      <c r="N299" s="175"/>
    </row>
    <row r="300" spans="1:14" x14ac:dyDescent="0.25">
      <c r="A300" s="5"/>
      <c r="B300" s="2"/>
      <c r="C300" s="2"/>
      <c r="D300" s="2"/>
      <c r="E300" s="2"/>
      <c r="F300" s="109"/>
      <c r="G300" s="109"/>
      <c r="H300" s="109"/>
      <c r="I300" s="109"/>
      <c r="J300" s="109"/>
      <c r="K300" s="111"/>
      <c r="L300" s="112"/>
      <c r="M300" s="2"/>
      <c r="N300" s="176"/>
    </row>
    <row r="301" spans="1:14" x14ac:dyDescent="0.25">
      <c r="A301" s="10" t="s">
        <v>159</v>
      </c>
      <c r="B301" s="6" t="s">
        <v>168</v>
      </c>
      <c r="C301" s="2"/>
      <c r="D301" s="2"/>
      <c r="E301" s="2"/>
      <c r="F301" s="61">
        <f>F302*'Faktoren Abwasser'!$B$149</f>
        <v>0</v>
      </c>
      <c r="G301" s="61">
        <f>G302*'Faktoren Abwasser'!$B$149</f>
        <v>0</v>
      </c>
      <c r="H301" s="61">
        <f>H302*'Faktoren Abwasser'!$B$149</f>
        <v>0</v>
      </c>
      <c r="I301" s="61">
        <f>I302*'Faktoren Abwasser'!$B$149</f>
        <v>0</v>
      </c>
      <c r="J301" s="61">
        <f>J302*'Faktoren Abwasser'!$B$149</f>
        <v>0</v>
      </c>
      <c r="K301" s="111">
        <f>SUM(F301:J301)</f>
        <v>0</v>
      </c>
      <c r="L301" s="112" t="s">
        <v>2</v>
      </c>
      <c r="M301" s="2"/>
      <c r="N301" s="176"/>
    </row>
    <row r="302" spans="1:14" x14ac:dyDescent="0.25">
      <c r="A302" s="5"/>
      <c r="B302" s="2" t="s">
        <v>169</v>
      </c>
      <c r="C302" s="2"/>
      <c r="D302" s="2"/>
      <c r="E302" s="2"/>
      <c r="F302" s="55">
        <v>0</v>
      </c>
      <c r="G302" s="55"/>
      <c r="H302" s="55"/>
      <c r="I302" s="55"/>
      <c r="J302" s="55"/>
      <c r="K302" s="2"/>
      <c r="L302" s="113" t="s">
        <v>133</v>
      </c>
      <c r="M302" s="2"/>
      <c r="N302" s="341" t="s">
        <v>478</v>
      </c>
    </row>
    <row r="303" spans="1:14" ht="15.75" thickBot="1" x14ac:dyDescent="0.3">
      <c r="A303" s="24"/>
      <c r="B303" s="25"/>
      <c r="C303" s="25"/>
      <c r="D303" s="25"/>
      <c r="E303" s="25"/>
      <c r="F303" s="26"/>
      <c r="G303" s="26"/>
      <c r="H303" s="26"/>
      <c r="I303" s="26"/>
      <c r="J303" s="26"/>
      <c r="K303" s="26"/>
      <c r="L303" s="122"/>
      <c r="M303" s="27"/>
      <c r="N303" s="342"/>
    </row>
  </sheetData>
  <mergeCells count="4">
    <mergeCell ref="F9:J9"/>
    <mergeCell ref="A19:A21"/>
    <mergeCell ref="N291:N293"/>
    <mergeCell ref="N302:N303"/>
  </mergeCells>
  <phoneticPr fontId="14" type="noConversion"/>
  <conditionalFormatting sqref="A36:J36 L36 B38:E39 G38:J39 L38:L39 C40:E40">
    <cfRule type="expression" dxfId="10" priority="16">
      <formula>$F$43="nein"</formula>
    </cfRule>
  </conditionalFormatting>
  <conditionalFormatting sqref="A29:L29 A31:J33 L31:N33 N38:N40 B40 L40">
    <cfRule type="expression" dxfId="9" priority="14">
      <formula>$F$36="nein"</formula>
    </cfRule>
  </conditionalFormatting>
  <conditionalFormatting sqref="F38">
    <cfRule type="expression" dxfId="8" priority="10">
      <formula>$F$43="nein"</formula>
    </cfRule>
    <cfRule type="expression" dxfId="7" priority="11">
      <formula>$F$43="nein"</formula>
    </cfRule>
  </conditionalFormatting>
  <conditionalFormatting sqref="F39:F40 G40:J40">
    <cfRule type="expression" dxfId="6" priority="8">
      <formula>$F$36="nein"</formula>
    </cfRule>
    <cfRule type="expression" dxfId="5" priority="9">
      <formula>$F$36="nein"</formula>
    </cfRule>
  </conditionalFormatting>
  <conditionalFormatting sqref="F31:J33">
    <cfRule type="expression" dxfId="4" priority="26">
      <formula>$F$36="nein"</formula>
    </cfRule>
  </conditionalFormatting>
  <conditionalFormatting sqref="F90:J95">
    <cfRule type="expression" dxfId="3" priority="1">
      <formula>$F$43="nein"</formula>
    </cfRule>
  </conditionalFormatting>
  <conditionalFormatting sqref="F71:L76">
    <cfRule type="expression" dxfId="2" priority="4">
      <formula>$F$43="nein"</formula>
    </cfRule>
  </conditionalFormatting>
  <conditionalFormatting sqref="G38:J39">
    <cfRule type="expression" dxfId="1" priority="15">
      <formula>$F$43="nein"</formula>
    </cfRule>
  </conditionalFormatting>
  <conditionalFormatting sqref="K36">
    <cfRule type="expression" dxfId="0" priority="13">
      <formula>$F$36="nein"</formula>
    </cfRule>
  </conditionalFormatting>
  <dataValidations count="1">
    <dataValidation type="list" allowBlank="1" showInputMessage="1" showErrorMessage="1" sqref="F272:J272" xr:uid="{704437D2-FDD7-4B19-BA10-2719FB92780E}">
      <formula1>$A$377:$A$378</formula1>
    </dataValidation>
  </dataValidations>
  <pageMargins left="0.7" right="0.7" top="0.78740157499999996" bottom="0.78740157499999996" header="0.3" footer="0.3"/>
  <pageSetup paperSize="9" orientation="portrait"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75DF516C-6829-47F4-9CF1-A536E9AEF3B8}">
          <x14:formula1>
            <xm:f>'Dropdown Menüs'!$A$6:$A$7</xm:f>
          </x14:formula1>
          <xm:sqref>F17:J17</xm:sqref>
        </x14:dataValidation>
        <x14:dataValidation type="list" allowBlank="1" showInputMessage="1" showErrorMessage="1" xr:uid="{A1535461-3D90-4161-9780-BE2016EB7472}">
          <x14:formula1>
            <xm:f>'Dropdown Menüs'!$B$6:$B$8</xm:f>
          </x14:formula1>
          <xm:sqref>F18</xm:sqref>
        </x14:dataValidation>
        <x14:dataValidation type="list" allowBlank="1" showInputMessage="1" showErrorMessage="1" xr:uid="{F03A6A5F-8B5F-4555-91F3-B6684D25C5D4}">
          <x14:formula1>
            <xm:f>'Dropdown Menüs'!$D$6:$D$7</xm:f>
          </x14:formula1>
          <xm:sqref>F30:J30</xm:sqref>
        </x14:dataValidation>
        <x14:dataValidation type="list" allowBlank="1" showInputMessage="1" showErrorMessage="1" xr:uid="{9C50A2BB-0AFC-41FB-8A1F-9A8FA9D75712}">
          <x14:formula1>
            <xm:f>'Dropdown Menüs'!$E$6:$E$7</xm:f>
          </x14:formula1>
          <xm:sqref>F37:J37</xm:sqref>
        </x14:dataValidation>
        <x14:dataValidation type="list" allowBlank="1" showInputMessage="1" showErrorMessage="1" xr:uid="{99E41D7B-FF5A-4492-8EA5-7670F6580D79}">
          <x14:formula1>
            <xm:f>'Dropdown Menüs'!$F$6:$F$9</xm:f>
          </x14:formula1>
          <xm:sqref>F46:J46 F56:J56</xm:sqref>
        </x14:dataValidation>
        <x14:dataValidation type="list" allowBlank="1" showInputMessage="1" showErrorMessage="1" xr:uid="{C93B0716-F824-466A-A84E-358CFFA802B3}">
          <x14:formula1>
            <xm:f>'Dropdown Menüs'!$G$6:$G$7</xm:f>
          </x14:formula1>
          <xm:sqref>F53:J55 F63:J63</xm:sqref>
        </x14:dataValidation>
        <x14:dataValidation type="list" allowBlank="1" showInputMessage="1" showErrorMessage="1" xr:uid="{1A860588-1822-4D0C-A053-992CAFD160A9}">
          <x14:formula1>
            <xm:f>'Dropdown Menüs'!$H$6:$H$9</xm:f>
          </x14:formula1>
          <xm:sqref>F133:J133</xm:sqref>
        </x14:dataValidation>
        <x14:dataValidation type="list" allowBlank="1" showInputMessage="1" showErrorMessage="1" xr:uid="{EAF5F7E3-37B8-49AF-9CB7-5579A06E0CBB}">
          <x14:formula1>
            <xm:f>'Dropdown Menüs'!$I$6:$I$8</xm:f>
          </x14:formula1>
          <xm:sqref>F241:J241</xm:sqref>
        </x14:dataValidation>
        <x14:dataValidation type="list" allowBlank="1" showInputMessage="1" showErrorMessage="1" xr:uid="{8CE72E2A-1D55-4597-BA3A-8CA96B86F7FC}">
          <x14:formula1>
            <xm:f>'Dropdown Menüs'!$K$6:$K$8</xm:f>
          </x14:formula1>
          <xm:sqref>F243:J243</xm:sqref>
        </x14:dataValidation>
        <x14:dataValidation type="list" allowBlank="1" showInputMessage="1" showErrorMessage="1" xr:uid="{F55E35B4-8AD8-4879-96EC-2CA9D8065548}">
          <x14:formula1>
            <xm:f>'Dropdown Menüs'!$C$6:$C$13</xm:f>
          </x14:formula1>
          <xm:sqref>F20:J20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21DE3-E2E6-4648-87AB-F7C9937147C3}">
  <sheetPr>
    <tabColor theme="2" tint="-0.249977111117893"/>
  </sheetPr>
  <dimension ref="A2:K13"/>
  <sheetViews>
    <sheetView zoomScale="85" zoomScaleNormal="85" workbookViewId="0">
      <selection activeCell="H17" sqref="H17"/>
    </sheetView>
  </sheetViews>
  <sheetFormatPr baseColWidth="10" defaultRowHeight="15" x14ac:dyDescent="0.25"/>
  <cols>
    <col min="1" max="1" width="23.7109375" customWidth="1"/>
    <col min="2" max="2" width="29.42578125" customWidth="1"/>
    <col min="3" max="3" width="21.85546875" customWidth="1"/>
    <col min="4" max="5" width="20.7109375" customWidth="1"/>
    <col min="6" max="6" width="22.42578125" customWidth="1"/>
    <col min="7" max="7" width="18" customWidth="1"/>
    <col min="8" max="8" width="28.140625" customWidth="1"/>
    <col min="9" max="9" width="14.85546875" customWidth="1"/>
    <col min="10" max="10" width="45.5703125" hidden="1" customWidth="1"/>
    <col min="11" max="11" width="16.28515625" customWidth="1"/>
  </cols>
  <sheetData>
    <row r="2" spans="1:11" ht="21" x14ac:dyDescent="0.35">
      <c r="A2" s="30" t="s">
        <v>299</v>
      </c>
    </row>
    <row r="4" spans="1:11" ht="30" x14ac:dyDescent="0.25">
      <c r="A4" s="53" t="s">
        <v>6</v>
      </c>
      <c r="B4" s="53" t="s">
        <v>323</v>
      </c>
      <c r="C4" s="53" t="s">
        <v>115</v>
      </c>
      <c r="D4" s="53" t="s">
        <v>21</v>
      </c>
      <c r="E4" s="53" t="s">
        <v>28</v>
      </c>
      <c r="F4" s="53" t="s">
        <v>32</v>
      </c>
      <c r="G4" s="53" t="s">
        <v>333</v>
      </c>
      <c r="H4" s="53" t="s">
        <v>75</v>
      </c>
      <c r="I4" s="53" t="s">
        <v>297</v>
      </c>
      <c r="J4" s="249" t="s">
        <v>296</v>
      </c>
      <c r="K4" s="254" t="s">
        <v>431</v>
      </c>
    </row>
    <row r="5" spans="1:11" x14ac:dyDescent="0.25">
      <c r="A5" s="244" t="s">
        <v>4</v>
      </c>
      <c r="B5" s="244" t="s">
        <v>4</v>
      </c>
      <c r="C5" s="245" t="s">
        <v>324</v>
      </c>
      <c r="D5" s="245" t="s">
        <v>19</v>
      </c>
      <c r="E5" s="245" t="s">
        <v>26</v>
      </c>
      <c r="F5" s="245" t="s">
        <v>31</v>
      </c>
      <c r="G5" s="245" t="s">
        <v>31</v>
      </c>
      <c r="H5" s="245" t="s">
        <v>69</v>
      </c>
      <c r="I5" s="245" t="s">
        <v>124</v>
      </c>
      <c r="J5" s="249"/>
      <c r="K5" s="250" t="s">
        <v>122</v>
      </c>
    </row>
    <row r="6" spans="1:11" x14ac:dyDescent="0.25">
      <c r="A6" s="35" t="s">
        <v>300</v>
      </c>
      <c r="B6" s="35" t="s">
        <v>302</v>
      </c>
      <c r="C6" s="35" t="s">
        <v>209</v>
      </c>
      <c r="D6" s="35" t="s">
        <v>305</v>
      </c>
      <c r="E6" s="35" t="s">
        <v>305</v>
      </c>
      <c r="F6" s="64" t="s">
        <v>312</v>
      </c>
      <c r="G6" s="64" t="s">
        <v>294</v>
      </c>
      <c r="H6" s="49" t="s">
        <v>308</v>
      </c>
      <c r="I6" s="35" t="s">
        <v>298</v>
      </c>
      <c r="K6" s="35" t="s">
        <v>429</v>
      </c>
    </row>
    <row r="7" spans="1:11" ht="28.5" customHeight="1" x14ac:dyDescent="0.25">
      <c r="A7" s="35" t="s">
        <v>301</v>
      </c>
      <c r="B7" s="35" t="s">
        <v>303</v>
      </c>
      <c r="C7" s="35" t="s">
        <v>210</v>
      </c>
      <c r="D7" s="35" t="s">
        <v>306</v>
      </c>
      <c r="E7" s="35" t="s">
        <v>306</v>
      </c>
      <c r="F7" s="65" t="s">
        <v>184</v>
      </c>
      <c r="G7" s="64" t="s">
        <v>295</v>
      </c>
      <c r="H7" s="49" t="s">
        <v>309</v>
      </c>
      <c r="I7" s="35" t="s">
        <v>129</v>
      </c>
      <c r="K7" s="35" t="s">
        <v>402</v>
      </c>
    </row>
    <row r="8" spans="1:11" ht="30" x14ac:dyDescent="0.25">
      <c r="B8" s="35" t="s">
        <v>304</v>
      </c>
      <c r="C8" s="35" t="s">
        <v>211</v>
      </c>
      <c r="F8" s="65" t="s">
        <v>186</v>
      </c>
      <c r="H8" s="49" t="s">
        <v>310</v>
      </c>
      <c r="I8" s="49" t="s">
        <v>130</v>
      </c>
      <c r="K8" s="35" t="s">
        <v>430</v>
      </c>
    </row>
    <row r="9" spans="1:11" ht="30" x14ac:dyDescent="0.25">
      <c r="C9" s="35" t="s">
        <v>212</v>
      </c>
      <c r="F9" s="64" t="s">
        <v>188</v>
      </c>
      <c r="H9" s="49" t="s">
        <v>311</v>
      </c>
      <c r="I9" s="54"/>
    </row>
    <row r="10" spans="1:11" x14ac:dyDescent="0.25">
      <c r="C10" s="35" t="s">
        <v>213</v>
      </c>
    </row>
    <row r="11" spans="1:11" x14ac:dyDescent="0.25">
      <c r="A11" s="31"/>
      <c r="C11" s="35" t="s">
        <v>214</v>
      </c>
    </row>
    <row r="12" spans="1:11" x14ac:dyDescent="0.25">
      <c r="C12" s="35" t="s">
        <v>215</v>
      </c>
    </row>
    <row r="13" spans="1:11" x14ac:dyDescent="0.25">
      <c r="C13" s="35" t="s">
        <v>307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0C66A-1A5A-45D9-BDFA-0C7F53FEB52A}">
  <sheetPr>
    <tabColor theme="2" tint="-0.249977111117893"/>
  </sheetPr>
  <dimension ref="A2:U318"/>
  <sheetViews>
    <sheetView topLeftCell="A285" zoomScale="70" zoomScaleNormal="70" workbookViewId="0">
      <selection activeCell="I291" sqref="I291"/>
    </sheetView>
  </sheetViews>
  <sheetFormatPr baseColWidth="10" defaultRowHeight="15" x14ac:dyDescent="0.25"/>
  <cols>
    <col min="1" max="1" width="31.7109375" customWidth="1"/>
    <col min="2" max="4" width="18.85546875" customWidth="1"/>
    <col min="5" max="5" width="18.42578125" customWidth="1"/>
    <col min="6" max="6" width="27.140625" customWidth="1"/>
    <col min="7" max="7" width="28.42578125" customWidth="1"/>
    <col min="8" max="8" width="20.5703125" customWidth="1"/>
  </cols>
  <sheetData>
    <row r="2" spans="1:8" ht="21" customHeight="1" x14ac:dyDescent="0.35">
      <c r="A2" s="30" t="s">
        <v>174</v>
      </c>
      <c r="C2" s="343" t="s">
        <v>441</v>
      </c>
      <c r="D2" s="344"/>
      <c r="E2" s="344"/>
      <c r="F2" s="344"/>
      <c r="G2" s="345"/>
    </row>
    <row r="3" spans="1:8" x14ac:dyDescent="0.25">
      <c r="E3" s="31"/>
    </row>
    <row r="4" spans="1:8" x14ac:dyDescent="0.25">
      <c r="A4" s="31" t="s">
        <v>175</v>
      </c>
    </row>
    <row r="5" spans="1:8" x14ac:dyDescent="0.25">
      <c r="A5" s="206" t="s">
        <v>316</v>
      </c>
      <c r="B5" s="206" t="s">
        <v>315</v>
      </c>
      <c r="C5" s="206" t="s">
        <v>12</v>
      </c>
      <c r="D5" s="350" t="s">
        <v>204</v>
      </c>
      <c r="E5" s="350"/>
      <c r="F5" s="350"/>
      <c r="G5" s="207" t="s">
        <v>433</v>
      </c>
    </row>
    <row r="6" spans="1:8" x14ac:dyDescent="0.25">
      <c r="A6" s="35" t="s">
        <v>176</v>
      </c>
      <c r="B6" s="104">
        <v>3.48</v>
      </c>
      <c r="C6" s="35" t="s">
        <v>177</v>
      </c>
      <c r="D6" s="349" t="s">
        <v>178</v>
      </c>
      <c r="E6" s="349"/>
      <c r="F6" s="349"/>
      <c r="G6" s="35">
        <v>2025</v>
      </c>
    </row>
    <row r="8" spans="1:8" x14ac:dyDescent="0.25">
      <c r="A8" s="31" t="s">
        <v>179</v>
      </c>
    </row>
    <row r="9" spans="1:8" ht="30" x14ac:dyDescent="0.25">
      <c r="A9" s="206" t="s">
        <v>115</v>
      </c>
      <c r="B9" s="207" t="s">
        <v>313</v>
      </c>
      <c r="C9" s="207" t="s">
        <v>314</v>
      </c>
      <c r="D9" s="206" t="s">
        <v>12</v>
      </c>
      <c r="E9" s="206" t="s">
        <v>204</v>
      </c>
      <c r="F9" s="208" t="s">
        <v>292</v>
      </c>
      <c r="G9" s="207" t="s">
        <v>433</v>
      </c>
    </row>
    <row r="10" spans="1:8" x14ac:dyDescent="0.25">
      <c r="A10" s="35" t="s">
        <v>180</v>
      </c>
      <c r="B10" s="47">
        <v>0.10199999999999999</v>
      </c>
      <c r="C10" s="47">
        <v>8.3880000000000001E-4</v>
      </c>
      <c r="D10" s="35" t="s">
        <v>181</v>
      </c>
      <c r="E10" s="45" t="s">
        <v>182</v>
      </c>
      <c r="F10" s="264" t="s">
        <v>183</v>
      </c>
      <c r="G10" s="42">
        <v>2025</v>
      </c>
      <c r="H10" s="32"/>
    </row>
    <row r="11" spans="1:8" x14ac:dyDescent="0.25">
      <c r="A11" s="35" t="s">
        <v>184</v>
      </c>
      <c r="B11" s="47">
        <f>258/2306</f>
        <v>0.11188204683434519</v>
      </c>
      <c r="C11" s="47">
        <v>5.6250000000000007E-4</v>
      </c>
      <c r="D11" s="35" t="s">
        <v>181</v>
      </c>
      <c r="E11" s="45" t="s">
        <v>182</v>
      </c>
      <c r="F11" s="264" t="s">
        <v>185</v>
      </c>
      <c r="G11" s="42">
        <v>2025</v>
      </c>
      <c r="H11" s="32"/>
    </row>
    <row r="12" spans="1:8" x14ac:dyDescent="0.25">
      <c r="A12" s="35" t="s">
        <v>186</v>
      </c>
      <c r="B12" s="48">
        <v>7.6999999999999999E-2</v>
      </c>
      <c r="C12" s="47">
        <v>8.3880000000000001E-4</v>
      </c>
      <c r="D12" s="35" t="s">
        <v>181</v>
      </c>
      <c r="E12" s="45" t="s">
        <v>182</v>
      </c>
      <c r="F12" s="264" t="s">
        <v>187</v>
      </c>
      <c r="G12" s="42">
        <v>2025</v>
      </c>
      <c r="H12" s="32"/>
    </row>
    <row r="13" spans="1:8" x14ac:dyDescent="0.25">
      <c r="A13" s="35" t="s">
        <v>188</v>
      </c>
      <c r="B13" s="48">
        <v>0.109</v>
      </c>
      <c r="C13" s="47">
        <f>B13*0.09</f>
        <v>9.8099999999999993E-3</v>
      </c>
      <c r="D13" s="35" t="s">
        <v>181</v>
      </c>
      <c r="E13" s="45" t="s">
        <v>182</v>
      </c>
      <c r="F13" s="264" t="s">
        <v>189</v>
      </c>
      <c r="G13" s="42">
        <v>2025</v>
      </c>
      <c r="H13" s="32"/>
    </row>
    <row r="14" spans="1:8" x14ac:dyDescent="0.25">
      <c r="A14" s="35" t="s">
        <v>64</v>
      </c>
      <c r="B14" s="47">
        <v>0.01</v>
      </c>
      <c r="C14" s="47">
        <f>B162*B6/B118</f>
        <v>1.4214379805777656E-4</v>
      </c>
      <c r="D14" s="35" t="s">
        <v>181</v>
      </c>
      <c r="E14" s="45" t="s">
        <v>182</v>
      </c>
      <c r="F14" s="264" t="s">
        <v>190</v>
      </c>
      <c r="G14" s="42">
        <v>2025</v>
      </c>
      <c r="H14" s="32"/>
    </row>
    <row r="15" spans="1:8" x14ac:dyDescent="0.25">
      <c r="A15" s="35" t="s">
        <v>65</v>
      </c>
      <c r="B15" s="48">
        <v>8.1000000000000003E-2</v>
      </c>
      <c r="C15" s="47">
        <v>7.2369999999999997E-4</v>
      </c>
      <c r="D15" s="35" t="s">
        <v>181</v>
      </c>
      <c r="E15" s="45" t="s">
        <v>182</v>
      </c>
      <c r="F15" s="264" t="s">
        <v>191</v>
      </c>
      <c r="G15" s="42">
        <v>2025</v>
      </c>
      <c r="H15" s="32"/>
    </row>
    <row r="16" spans="1:8" x14ac:dyDescent="0.25">
      <c r="A16" s="35" t="s">
        <v>192</v>
      </c>
      <c r="B16" s="48">
        <v>7.2999999999999995E-2</v>
      </c>
      <c r="C16" s="47">
        <v>6.4139999999999998E-4</v>
      </c>
      <c r="D16" s="35" t="s">
        <v>181</v>
      </c>
      <c r="E16" s="45" t="s">
        <v>182</v>
      </c>
      <c r="F16" s="264" t="s">
        <v>192</v>
      </c>
      <c r="G16" s="42">
        <v>2025</v>
      </c>
      <c r="H16" s="32"/>
    </row>
    <row r="17" spans="1:21" x14ac:dyDescent="0.25">
      <c r="A17" s="35" t="s">
        <v>54</v>
      </c>
      <c r="B17" s="47">
        <v>1.7000000000000001E-2</v>
      </c>
      <c r="C17" s="47">
        <f>B162*B6/B121</f>
        <v>1.8275631178856988E-4</v>
      </c>
      <c r="D17" s="35" t="s">
        <v>181</v>
      </c>
      <c r="E17" s="45" t="s">
        <v>182</v>
      </c>
      <c r="F17" s="264" t="s">
        <v>193</v>
      </c>
      <c r="G17" s="42">
        <v>2025</v>
      </c>
      <c r="H17" s="32"/>
    </row>
    <row r="18" spans="1:21" x14ac:dyDescent="0.25">
      <c r="A18" s="35" t="s">
        <v>55</v>
      </c>
      <c r="B18" s="47">
        <v>1.7999999999999999E-2</v>
      </c>
      <c r="C18" s="47">
        <f>B162*B6/B122</f>
        <v>1.3830207378594478E-4</v>
      </c>
      <c r="D18" s="35" t="s">
        <v>181</v>
      </c>
      <c r="E18" s="45" t="s">
        <v>182</v>
      </c>
      <c r="F18" s="264" t="s">
        <v>194</v>
      </c>
      <c r="G18" s="42">
        <v>2025</v>
      </c>
      <c r="H18" s="32"/>
    </row>
    <row r="19" spans="1:21" x14ac:dyDescent="0.25">
      <c r="B19" s="33"/>
      <c r="C19" s="33"/>
    </row>
    <row r="20" spans="1:21" x14ac:dyDescent="0.25">
      <c r="A20" s="31" t="s">
        <v>160</v>
      </c>
      <c r="B20" s="33"/>
      <c r="C20" s="33"/>
    </row>
    <row r="21" spans="1:21" x14ac:dyDescent="0.25">
      <c r="A21" s="206" t="s">
        <v>115</v>
      </c>
      <c r="B21" s="209" t="s">
        <v>315</v>
      </c>
      <c r="C21" s="209" t="s">
        <v>12</v>
      </c>
      <c r="D21" s="350" t="s">
        <v>204</v>
      </c>
      <c r="E21" s="350"/>
      <c r="F21" s="350"/>
      <c r="G21" s="207" t="s">
        <v>433</v>
      </c>
    </row>
    <row r="22" spans="1:21" x14ac:dyDescent="0.25">
      <c r="A22" s="35" t="s">
        <v>195</v>
      </c>
      <c r="B22" s="40">
        <v>6.26</v>
      </c>
      <c r="C22" s="35" t="s">
        <v>196</v>
      </c>
      <c r="D22" s="349" t="s">
        <v>197</v>
      </c>
      <c r="E22" s="349"/>
      <c r="F22" s="349"/>
      <c r="G22" s="35">
        <v>2025</v>
      </c>
    </row>
    <row r="23" spans="1:21" x14ac:dyDescent="0.25">
      <c r="A23" s="35" t="s">
        <v>198</v>
      </c>
      <c r="B23" s="40">
        <v>10</v>
      </c>
      <c r="C23" s="35" t="s">
        <v>196</v>
      </c>
      <c r="D23" s="349" t="s">
        <v>199</v>
      </c>
      <c r="E23" s="349"/>
      <c r="F23" s="349"/>
      <c r="G23" s="35">
        <v>2025</v>
      </c>
    </row>
    <row r="24" spans="1:21" x14ac:dyDescent="0.25">
      <c r="A24" s="35" t="s">
        <v>200</v>
      </c>
      <c r="B24" s="40">
        <v>4.38</v>
      </c>
      <c r="C24" s="35" t="s">
        <v>196</v>
      </c>
      <c r="D24" s="349" t="s">
        <v>201</v>
      </c>
      <c r="E24" s="349"/>
      <c r="F24" s="349"/>
      <c r="G24" s="35">
        <v>2025</v>
      </c>
    </row>
    <row r="25" spans="1:21" ht="30" x14ac:dyDescent="0.25">
      <c r="A25" s="49" t="s">
        <v>202</v>
      </c>
      <c r="B25" s="40">
        <v>17.600000000000001</v>
      </c>
      <c r="C25" s="35" t="s">
        <v>196</v>
      </c>
      <c r="D25" s="349" t="s">
        <v>203</v>
      </c>
      <c r="E25" s="349"/>
      <c r="F25" s="349"/>
      <c r="G25" s="35">
        <v>2025</v>
      </c>
    </row>
    <row r="27" spans="1:21" x14ac:dyDescent="0.25">
      <c r="A27" s="31" t="s">
        <v>205</v>
      </c>
      <c r="B27" s="33"/>
      <c r="C27" s="33"/>
      <c r="D27" s="32"/>
      <c r="E27" s="46"/>
      <c r="J27" s="285" t="s">
        <v>506</v>
      </c>
    </row>
    <row r="28" spans="1:21" ht="30" x14ac:dyDescent="0.25">
      <c r="A28" s="206" t="s">
        <v>115</v>
      </c>
      <c r="B28" s="206" t="s">
        <v>49</v>
      </c>
      <c r="C28" s="207" t="s">
        <v>206</v>
      </c>
      <c r="D28" s="207" t="s">
        <v>218</v>
      </c>
      <c r="E28" s="207" t="s">
        <v>208</v>
      </c>
      <c r="F28" s="210" t="s">
        <v>204</v>
      </c>
      <c r="G28" s="207" t="s">
        <v>433</v>
      </c>
      <c r="J28" s="207" t="s">
        <v>394</v>
      </c>
      <c r="K28" s="207" t="s">
        <v>395</v>
      </c>
      <c r="L28" s="207" t="s">
        <v>396</v>
      </c>
      <c r="M28" s="207" t="s">
        <v>391</v>
      </c>
      <c r="N28" s="207" t="s">
        <v>392</v>
      </c>
      <c r="O28" s="207" t="s">
        <v>393</v>
      </c>
      <c r="P28" s="207" t="s">
        <v>397</v>
      </c>
      <c r="Q28" s="207" t="s">
        <v>398</v>
      </c>
      <c r="R28" s="207" t="s">
        <v>399</v>
      </c>
    </row>
    <row r="29" spans="1:21" x14ac:dyDescent="0.25">
      <c r="A29" s="100" t="s">
        <v>209</v>
      </c>
      <c r="B29" s="100">
        <v>300</v>
      </c>
      <c r="C29" s="101">
        <f>E29/D29</f>
        <v>232.43561192984538</v>
      </c>
      <c r="D29" s="102">
        <v>0.13220000000000001</v>
      </c>
      <c r="E29" s="103">
        <v>30.727987897125562</v>
      </c>
      <c r="F29" s="265"/>
      <c r="G29" s="100">
        <v>2025</v>
      </c>
      <c r="J29" s="35">
        <f>B29</f>
        <v>300</v>
      </c>
      <c r="K29" s="38">
        <f>J29^2</f>
        <v>90000</v>
      </c>
      <c r="L29" s="232">
        <f>E29</f>
        <v>30.727987897125562</v>
      </c>
      <c r="M29" s="88">
        <f t="array" ref="M29:O29">LINEST(L29:L41,J29:K41,TRUE,TRUE)</f>
        <v>2.3529810582760652E-4</v>
      </c>
      <c r="N29" s="40">
        <v>-4.7960955836901388E-2</v>
      </c>
      <c r="O29" s="35">
        <v>21.252513900622887</v>
      </c>
      <c r="P29" s="47">
        <f>ROUND(M29,4)</f>
        <v>2.0000000000000001E-4</v>
      </c>
      <c r="Q29" s="40">
        <f>ROUND(N29,4)</f>
        <v>-4.8000000000000001E-2</v>
      </c>
      <c r="R29" s="36">
        <f>ROUND(O29,4)</f>
        <v>21.252500000000001</v>
      </c>
      <c r="S29" s="15"/>
      <c r="T29" s="15" t="s">
        <v>400</v>
      </c>
      <c r="U29" t="str">
        <f>CONCATENATE(P29,"x²+",Q29,"x+",R29)</f>
        <v>0,0002x²+-0,048x+21,2525</v>
      </c>
    </row>
    <row r="30" spans="1:21" x14ac:dyDescent="0.25">
      <c r="A30" s="35" t="s">
        <v>209</v>
      </c>
      <c r="B30" s="35">
        <v>400</v>
      </c>
      <c r="C30" s="36">
        <f t="shared" ref="C30:C91" si="0">E30/D30</f>
        <v>287.70647325260165</v>
      </c>
      <c r="D30" s="37">
        <v>0.13220000000000001</v>
      </c>
      <c r="E30" s="39">
        <v>38.034795763993941</v>
      </c>
      <c r="F30" s="266"/>
      <c r="G30" s="35">
        <v>2025</v>
      </c>
      <c r="J30" s="35">
        <f>B30</f>
        <v>400</v>
      </c>
      <c r="K30" s="294">
        <f>J30^2</f>
        <v>160000</v>
      </c>
      <c r="L30" s="232">
        <f t="shared" ref="L30:L41" si="1">E30</f>
        <v>38.034795763993941</v>
      </c>
      <c r="S30" s="15"/>
    </row>
    <row r="31" spans="1:21" x14ac:dyDescent="0.25">
      <c r="A31" s="35" t="s">
        <v>209</v>
      </c>
      <c r="B31" s="35">
        <v>500</v>
      </c>
      <c r="C31" s="36">
        <f t="shared" si="0"/>
        <v>411.65794274022073</v>
      </c>
      <c r="D31" s="37">
        <v>0.13220000000000001</v>
      </c>
      <c r="E31" s="39">
        <v>54.421180030257183</v>
      </c>
      <c r="F31" s="266"/>
      <c r="G31" s="35">
        <v>2025</v>
      </c>
      <c r="J31" s="35">
        <f t="shared" ref="J31:J41" si="2">B31</f>
        <v>500</v>
      </c>
      <c r="K31" s="294">
        <f t="shared" ref="K31:K41" si="3">J31^2</f>
        <v>250000</v>
      </c>
      <c r="L31" s="232">
        <f t="shared" si="1"/>
        <v>54.421180030257183</v>
      </c>
      <c r="S31" s="15"/>
    </row>
    <row r="32" spans="1:21" x14ac:dyDescent="0.25">
      <c r="A32" s="35" t="s">
        <v>209</v>
      </c>
      <c r="B32" s="35">
        <v>600</v>
      </c>
      <c r="C32" s="36">
        <f t="shared" si="0"/>
        <v>559.44896216936229</v>
      </c>
      <c r="D32" s="37">
        <v>0.13220000000000001</v>
      </c>
      <c r="E32" s="39">
        <v>73.959152798789702</v>
      </c>
      <c r="F32" s="266"/>
      <c r="G32" s="35">
        <v>2025</v>
      </c>
      <c r="J32" s="295">
        <f t="shared" si="2"/>
        <v>600</v>
      </c>
      <c r="K32" s="38">
        <f>J32^2</f>
        <v>360000</v>
      </c>
      <c r="L32" s="297">
        <f t="shared" si="1"/>
        <v>73.959152798789702</v>
      </c>
      <c r="S32" s="15"/>
    </row>
    <row r="33" spans="1:19" x14ac:dyDescent="0.25">
      <c r="A33" s="35" t="s">
        <v>209</v>
      </c>
      <c r="B33" s="35">
        <v>700</v>
      </c>
      <c r="C33" s="36">
        <f t="shared" si="0"/>
        <v>803.23674073802806</v>
      </c>
      <c r="D33" s="37">
        <v>0.13220000000000001</v>
      </c>
      <c r="E33" s="39">
        <v>106.18789712556732</v>
      </c>
      <c r="F33" s="266"/>
      <c r="G33" s="35">
        <v>2025</v>
      </c>
      <c r="J33" s="35">
        <f t="shared" si="2"/>
        <v>700</v>
      </c>
      <c r="K33" s="38">
        <f>J33^2</f>
        <v>490000</v>
      </c>
      <c r="L33" s="232">
        <f t="shared" si="1"/>
        <v>106.18789712556732</v>
      </c>
      <c r="S33" s="15"/>
    </row>
    <row r="34" spans="1:19" x14ac:dyDescent="0.25">
      <c r="A34" s="35" t="s">
        <v>209</v>
      </c>
      <c r="B34" s="35">
        <v>800</v>
      </c>
      <c r="C34" s="36">
        <f t="shared" si="0"/>
        <v>1041.2774849457908</v>
      </c>
      <c r="D34" s="37">
        <v>0.13220000000000001</v>
      </c>
      <c r="E34" s="39">
        <v>137.65688350983356</v>
      </c>
      <c r="F34" s="266"/>
      <c r="G34" s="35">
        <v>2025</v>
      </c>
      <c r="J34" s="35">
        <f t="shared" si="2"/>
        <v>800</v>
      </c>
      <c r="K34" s="38">
        <f t="shared" si="3"/>
        <v>640000</v>
      </c>
      <c r="L34" s="232">
        <f t="shared" si="1"/>
        <v>137.65688350983356</v>
      </c>
      <c r="S34" s="15"/>
    </row>
    <row r="35" spans="1:19" x14ac:dyDescent="0.25">
      <c r="A35" s="35" t="s">
        <v>209</v>
      </c>
      <c r="B35" s="35">
        <v>900</v>
      </c>
      <c r="C35" s="36">
        <f t="shared" si="0"/>
        <v>1250.58305734904</v>
      </c>
      <c r="D35" s="37">
        <v>0.13220000000000001</v>
      </c>
      <c r="E35" s="39">
        <v>165.3270801815431</v>
      </c>
      <c r="F35" s="266"/>
      <c r="G35" s="35">
        <v>2025</v>
      </c>
      <c r="J35" s="35">
        <f t="shared" si="2"/>
        <v>900</v>
      </c>
      <c r="K35" s="38">
        <f>J35^2</f>
        <v>810000</v>
      </c>
      <c r="L35" s="232">
        <f t="shared" si="1"/>
        <v>165.3270801815431</v>
      </c>
      <c r="S35" s="15"/>
    </row>
    <row r="36" spans="1:19" x14ac:dyDescent="0.25">
      <c r="A36" s="35" t="s">
        <v>209</v>
      </c>
      <c r="B36" s="35">
        <v>1000</v>
      </c>
      <c r="C36" s="36">
        <f t="shared" si="0"/>
        <v>1575.5388273852707</v>
      </c>
      <c r="D36" s="37">
        <v>0.13220000000000001</v>
      </c>
      <c r="E36" s="39">
        <v>208.28623298033281</v>
      </c>
      <c r="F36" s="266"/>
      <c r="G36" s="35">
        <v>2025</v>
      </c>
      <c r="J36" s="35">
        <f>B36</f>
        <v>1000</v>
      </c>
      <c r="K36" s="38">
        <f t="shared" si="3"/>
        <v>1000000</v>
      </c>
      <c r="L36" s="232">
        <f t="shared" si="1"/>
        <v>208.28623298033281</v>
      </c>
      <c r="S36" s="15"/>
    </row>
    <row r="37" spans="1:19" x14ac:dyDescent="0.25">
      <c r="A37" s="35" t="s">
        <v>209</v>
      </c>
      <c r="B37" s="35">
        <v>1100</v>
      </c>
      <c r="C37" s="36">
        <f t="shared" si="0"/>
        <v>1949.8765223003695</v>
      </c>
      <c r="D37" s="37">
        <v>0.13220000000000001</v>
      </c>
      <c r="E37" s="39">
        <v>257.77367624810887</v>
      </c>
      <c r="F37" s="266"/>
      <c r="G37" s="35">
        <v>2025</v>
      </c>
      <c r="J37" s="35">
        <f t="shared" si="2"/>
        <v>1100</v>
      </c>
      <c r="K37" s="38">
        <f t="shared" si="3"/>
        <v>1210000</v>
      </c>
      <c r="L37" s="232">
        <f t="shared" si="1"/>
        <v>257.77367624810887</v>
      </c>
      <c r="S37" s="15"/>
    </row>
    <row r="38" spans="1:19" x14ac:dyDescent="0.25">
      <c r="A38" s="35" t="s">
        <v>209</v>
      </c>
      <c r="B38" s="35">
        <v>1200</v>
      </c>
      <c r="C38" s="36">
        <f t="shared" si="0"/>
        <v>2133.994474973736</v>
      </c>
      <c r="D38" s="37">
        <v>0.13220000000000001</v>
      </c>
      <c r="E38" s="39">
        <v>282.11406959152794</v>
      </c>
      <c r="F38" s="266"/>
      <c r="G38" s="35">
        <v>2025</v>
      </c>
      <c r="J38" s="35">
        <f t="shared" si="2"/>
        <v>1200</v>
      </c>
      <c r="K38" s="38">
        <f t="shared" si="3"/>
        <v>1440000</v>
      </c>
      <c r="L38" s="232">
        <f t="shared" si="1"/>
        <v>282.11406959152794</v>
      </c>
      <c r="S38" s="15"/>
    </row>
    <row r="39" spans="1:19" x14ac:dyDescent="0.25">
      <c r="A39" s="35" t="s">
        <v>209</v>
      </c>
      <c r="B39" s="35">
        <v>1300</v>
      </c>
      <c r="C39" s="36">
        <f t="shared" si="0"/>
        <v>2817.8915639211659</v>
      </c>
      <c r="D39" s="37">
        <v>0.13220000000000001</v>
      </c>
      <c r="E39" s="39">
        <v>372.5252647503782</v>
      </c>
      <c r="F39" s="266"/>
      <c r="G39" s="35">
        <v>2025</v>
      </c>
      <c r="J39" s="35">
        <f t="shared" si="2"/>
        <v>1300</v>
      </c>
      <c r="K39" s="38">
        <f t="shared" si="3"/>
        <v>1690000</v>
      </c>
      <c r="L39" s="232">
        <f t="shared" si="1"/>
        <v>372.5252647503782</v>
      </c>
      <c r="S39" s="15"/>
    </row>
    <row r="40" spans="1:19" x14ac:dyDescent="0.25">
      <c r="A40" s="35" t="s">
        <v>209</v>
      </c>
      <c r="B40" s="35">
        <v>1400</v>
      </c>
      <c r="C40" s="36">
        <f t="shared" si="0"/>
        <v>3214.8626410724128</v>
      </c>
      <c r="D40" s="37">
        <v>0.13220000000000001</v>
      </c>
      <c r="E40" s="39">
        <v>425.00484114977303</v>
      </c>
      <c r="F40" s="266"/>
      <c r="G40" s="35">
        <v>2025</v>
      </c>
      <c r="J40" s="35">
        <f t="shared" si="2"/>
        <v>1400</v>
      </c>
      <c r="K40" s="38">
        <f t="shared" si="3"/>
        <v>1960000</v>
      </c>
      <c r="L40" s="232">
        <f t="shared" si="1"/>
        <v>425.00484114977303</v>
      </c>
      <c r="S40" s="15"/>
    </row>
    <row r="41" spans="1:19" x14ac:dyDescent="0.25">
      <c r="A41" s="35" t="s">
        <v>209</v>
      </c>
      <c r="B41" s="35">
        <v>1500</v>
      </c>
      <c r="C41" s="36">
        <f t="shared" si="0"/>
        <v>3548.0487319217882</v>
      </c>
      <c r="D41" s="37">
        <v>0.13220000000000001</v>
      </c>
      <c r="E41" s="39">
        <v>469.05204236006045</v>
      </c>
      <c r="F41" s="266"/>
      <c r="G41" s="35">
        <v>2025</v>
      </c>
      <c r="J41" s="35">
        <f t="shared" si="2"/>
        <v>1500</v>
      </c>
      <c r="K41" s="38">
        <f t="shared" si="3"/>
        <v>2250000</v>
      </c>
      <c r="L41" s="232">
        <f t="shared" si="1"/>
        <v>469.05204236006045</v>
      </c>
      <c r="S41" s="15"/>
    </row>
    <row r="42" spans="1:19" x14ac:dyDescent="0.25">
      <c r="A42" s="100" t="s">
        <v>210</v>
      </c>
      <c r="B42" s="100">
        <v>300</v>
      </c>
      <c r="C42" s="101">
        <f t="shared" si="0"/>
        <v>219.608653665616</v>
      </c>
      <c r="D42" s="102">
        <v>0.14169999999999999</v>
      </c>
      <c r="E42" s="103">
        <v>31.118546224417788</v>
      </c>
      <c r="F42" s="265"/>
      <c r="G42" s="100">
        <v>2025</v>
      </c>
      <c r="J42" s="35">
        <f>B42</f>
        <v>300</v>
      </c>
      <c r="K42" s="38">
        <f>J42^2</f>
        <v>90000</v>
      </c>
      <c r="L42" s="232">
        <f>E42</f>
        <v>31.118546224417788</v>
      </c>
      <c r="M42" s="298">
        <f t="array" ref="M42:O42">LINEST(L42:L54,J42:K54,TRUE,TRUE)</f>
        <v>9.6412565909743069E-5</v>
      </c>
      <c r="N42" s="40">
        <v>6.9391296459362789E-2</v>
      </c>
      <c r="O42" s="35">
        <v>-1.2474098942694667</v>
      </c>
      <c r="P42" s="47">
        <f>ROUND(M42,4)</f>
        <v>1E-4</v>
      </c>
      <c r="Q42" s="40">
        <f>ROUND(N42,4)</f>
        <v>6.9400000000000003E-2</v>
      </c>
      <c r="R42" s="36">
        <f>ROUND(O42,4)</f>
        <v>-1.2474000000000001</v>
      </c>
      <c r="S42" s="15"/>
    </row>
    <row r="43" spans="1:19" x14ac:dyDescent="0.25">
      <c r="A43" s="35" t="s">
        <v>210</v>
      </c>
      <c r="B43" s="35">
        <v>400</v>
      </c>
      <c r="C43" s="36">
        <f t="shared" si="0"/>
        <v>300.9914890713581</v>
      </c>
      <c r="D43" s="37">
        <v>0.14169999999999999</v>
      </c>
      <c r="E43" s="39">
        <v>42.650494001411438</v>
      </c>
      <c r="F43" s="266"/>
      <c r="G43" s="35">
        <v>2025</v>
      </c>
      <c r="J43" s="35">
        <f t="shared" ref="J43:J54" si="4">B43</f>
        <v>400</v>
      </c>
      <c r="K43" s="38">
        <f t="shared" ref="K43:K54" si="5">J43^2</f>
        <v>160000</v>
      </c>
      <c r="L43" s="232">
        <f t="shared" ref="L43:L54" si="6">E43</f>
        <v>42.650494001411438</v>
      </c>
      <c r="S43" s="15"/>
    </row>
    <row r="44" spans="1:19" x14ac:dyDescent="0.25">
      <c r="A44" s="35" t="s">
        <v>210</v>
      </c>
      <c r="B44" s="35">
        <v>500</v>
      </c>
      <c r="C44" s="36">
        <f t="shared" si="0"/>
        <v>389.67706880211011</v>
      </c>
      <c r="D44" s="37">
        <v>0.14169999999999999</v>
      </c>
      <c r="E44" s="39">
        <v>55.217240649258997</v>
      </c>
      <c r="F44" s="266"/>
      <c r="G44" s="35">
        <v>2025</v>
      </c>
      <c r="J44" s="35">
        <f t="shared" si="4"/>
        <v>500</v>
      </c>
      <c r="K44" s="38">
        <f t="shared" si="5"/>
        <v>250000</v>
      </c>
      <c r="L44" s="232">
        <f t="shared" si="6"/>
        <v>55.217240649258997</v>
      </c>
      <c r="S44" s="15"/>
    </row>
    <row r="45" spans="1:19" x14ac:dyDescent="0.25">
      <c r="A45" s="35" t="s">
        <v>210</v>
      </c>
      <c r="B45" s="35">
        <v>600</v>
      </c>
      <c r="C45" s="36">
        <f t="shared" si="0"/>
        <v>519.61328539575652</v>
      </c>
      <c r="D45" s="37">
        <v>0.14169999999999999</v>
      </c>
      <c r="E45" s="39">
        <v>73.629202540578689</v>
      </c>
      <c r="F45" s="266"/>
      <c r="G45" s="35">
        <v>2025</v>
      </c>
      <c r="J45" s="35">
        <f t="shared" si="4"/>
        <v>600</v>
      </c>
      <c r="K45" s="38">
        <f t="shared" si="5"/>
        <v>360000</v>
      </c>
      <c r="L45" s="232">
        <f t="shared" si="6"/>
        <v>73.629202540578689</v>
      </c>
      <c r="S45" s="15"/>
    </row>
    <row r="46" spans="1:19" x14ac:dyDescent="0.25">
      <c r="A46" s="35" t="s">
        <v>210</v>
      </c>
      <c r="B46" s="35">
        <v>700</v>
      </c>
      <c r="C46" s="36">
        <f t="shared" si="0"/>
        <v>641.58885277024785</v>
      </c>
      <c r="D46" s="37">
        <v>0.14169999999999999</v>
      </c>
      <c r="E46" s="39">
        <v>90.913140437544115</v>
      </c>
      <c r="F46" s="266"/>
      <c r="G46" s="35">
        <v>2025</v>
      </c>
      <c r="J46" s="35">
        <f t="shared" si="4"/>
        <v>700</v>
      </c>
      <c r="K46" s="38">
        <f t="shared" si="5"/>
        <v>490000</v>
      </c>
      <c r="L46" s="232">
        <f t="shared" si="6"/>
        <v>90.913140437544115</v>
      </c>
      <c r="S46" s="15"/>
    </row>
    <row r="47" spans="1:19" x14ac:dyDescent="0.25">
      <c r="A47" s="35" t="s">
        <v>210</v>
      </c>
      <c r="B47" s="35">
        <v>800</v>
      </c>
      <c r="C47" s="36">
        <f t="shared" si="0"/>
        <v>818.23631684819236</v>
      </c>
      <c r="D47" s="37">
        <v>0.14169999999999999</v>
      </c>
      <c r="E47" s="39">
        <v>115.94408609738885</v>
      </c>
      <c r="F47" s="266"/>
      <c r="G47" s="35">
        <v>2025</v>
      </c>
      <c r="J47" s="35">
        <f t="shared" si="4"/>
        <v>800</v>
      </c>
      <c r="K47" s="38">
        <f t="shared" si="5"/>
        <v>640000</v>
      </c>
      <c r="L47" s="232">
        <f t="shared" si="6"/>
        <v>115.94408609738885</v>
      </c>
      <c r="S47" s="15"/>
    </row>
    <row r="48" spans="1:19" x14ac:dyDescent="0.25">
      <c r="A48" s="35" t="s">
        <v>210</v>
      </c>
      <c r="B48" s="35">
        <v>900</v>
      </c>
      <c r="C48" s="36">
        <f t="shared" si="0"/>
        <v>992.12058037072802</v>
      </c>
      <c r="D48" s="37">
        <v>0.14169999999999999</v>
      </c>
      <c r="E48" s="39">
        <v>140.58348623853215</v>
      </c>
      <c r="F48" s="266"/>
      <c r="G48" s="35">
        <v>2025</v>
      </c>
      <c r="J48" s="35">
        <f t="shared" si="4"/>
        <v>900</v>
      </c>
      <c r="K48" s="38">
        <f t="shared" si="5"/>
        <v>810000</v>
      </c>
      <c r="L48" s="232">
        <f t="shared" si="6"/>
        <v>140.58348623853215</v>
      </c>
      <c r="S48" s="15"/>
    </row>
    <row r="49" spans="1:19" x14ac:dyDescent="0.25">
      <c r="A49" s="35" t="s">
        <v>210</v>
      </c>
      <c r="B49" s="35">
        <v>1000</v>
      </c>
      <c r="C49" s="36">
        <f t="shared" si="0"/>
        <v>1138.8333717650728</v>
      </c>
      <c r="D49" s="37">
        <v>0.14169999999999999</v>
      </c>
      <c r="E49" s="39">
        <v>161.3726887791108</v>
      </c>
      <c r="F49" s="266"/>
      <c r="G49" s="35">
        <v>2025</v>
      </c>
      <c r="J49" s="35">
        <f t="shared" si="4"/>
        <v>1000</v>
      </c>
      <c r="K49" s="38">
        <f t="shared" si="5"/>
        <v>1000000</v>
      </c>
      <c r="L49" s="232">
        <f t="shared" si="6"/>
        <v>161.3726887791108</v>
      </c>
      <c r="S49" s="15"/>
    </row>
    <row r="50" spans="1:19" x14ac:dyDescent="0.25">
      <c r="A50" s="35" t="s">
        <v>210</v>
      </c>
      <c r="B50" s="35">
        <v>1100</v>
      </c>
      <c r="C50" s="36">
        <f t="shared" si="0"/>
        <v>1406.2059207456191</v>
      </c>
      <c r="D50" s="37">
        <v>0.14169999999999999</v>
      </c>
      <c r="E50" s="39">
        <v>199.25937896965422</v>
      </c>
      <c r="F50" s="266"/>
      <c r="G50" s="35">
        <v>2025</v>
      </c>
      <c r="J50" s="35">
        <f t="shared" si="4"/>
        <v>1100</v>
      </c>
      <c r="K50" s="38">
        <f t="shared" si="5"/>
        <v>1210000</v>
      </c>
      <c r="L50" s="232">
        <f t="shared" si="6"/>
        <v>199.25937896965422</v>
      </c>
      <c r="S50" s="15"/>
    </row>
    <row r="51" spans="1:19" x14ac:dyDescent="0.25">
      <c r="A51" s="35" t="s">
        <v>210</v>
      </c>
      <c r="B51" s="35">
        <v>1200</v>
      </c>
      <c r="C51" s="36">
        <f t="shared" si="0"/>
        <v>1573.7742972843621</v>
      </c>
      <c r="D51" s="37">
        <v>0.14169999999999999</v>
      </c>
      <c r="E51" s="39">
        <v>223.00381792519408</v>
      </c>
      <c r="F51" s="266"/>
      <c r="G51" s="35">
        <v>2025</v>
      </c>
      <c r="J51" s="35">
        <f t="shared" si="4"/>
        <v>1200</v>
      </c>
      <c r="K51" s="38">
        <f t="shared" si="5"/>
        <v>1440000</v>
      </c>
      <c r="L51" s="232">
        <f t="shared" si="6"/>
        <v>223.00381792519408</v>
      </c>
      <c r="S51" s="15"/>
    </row>
    <row r="52" spans="1:19" x14ac:dyDescent="0.25">
      <c r="A52" s="35" t="s">
        <v>210</v>
      </c>
      <c r="B52" s="35">
        <v>1300</v>
      </c>
      <c r="C52" s="36">
        <f t="shared" si="0"/>
        <v>1727.5266710460587</v>
      </c>
      <c r="D52" s="37">
        <v>0.14169999999999999</v>
      </c>
      <c r="E52" s="39">
        <v>244.79052928722652</v>
      </c>
      <c r="F52" s="266"/>
      <c r="G52" s="35">
        <v>2025</v>
      </c>
      <c r="J52" s="35">
        <f t="shared" si="4"/>
        <v>1300</v>
      </c>
      <c r="K52" s="38">
        <f t="shared" si="5"/>
        <v>1690000</v>
      </c>
      <c r="L52" s="232">
        <f t="shared" si="6"/>
        <v>244.79052928722652</v>
      </c>
      <c r="S52" s="15"/>
    </row>
    <row r="53" spans="1:19" x14ac:dyDescent="0.25">
      <c r="A53" s="35" t="s">
        <v>210</v>
      </c>
      <c r="B53" s="35">
        <v>1400</v>
      </c>
      <c r="C53" s="36">
        <f t="shared" si="0"/>
        <v>2077.7952366888812</v>
      </c>
      <c r="D53" s="37">
        <v>0.14169999999999999</v>
      </c>
      <c r="E53" s="39">
        <v>294.42358503881445</v>
      </c>
      <c r="F53" s="266"/>
      <c r="G53" s="35">
        <v>2025</v>
      </c>
      <c r="J53" s="35">
        <f t="shared" si="4"/>
        <v>1400</v>
      </c>
      <c r="K53" s="38">
        <f t="shared" si="5"/>
        <v>1960000</v>
      </c>
      <c r="L53" s="232">
        <f t="shared" si="6"/>
        <v>294.42358503881445</v>
      </c>
      <c r="S53" s="15"/>
    </row>
    <row r="54" spans="1:19" x14ac:dyDescent="0.25">
      <c r="A54" s="35" t="s">
        <v>210</v>
      </c>
      <c r="B54" s="35">
        <v>1500</v>
      </c>
      <c r="C54" s="36">
        <f t="shared" si="0"/>
        <v>2212.0736255838847</v>
      </c>
      <c r="D54" s="37">
        <v>0.14169999999999999</v>
      </c>
      <c r="E54" s="39">
        <v>313.45083274523643</v>
      </c>
      <c r="F54" s="266"/>
      <c r="G54" s="35">
        <v>2025</v>
      </c>
      <c r="J54" s="35">
        <f t="shared" si="4"/>
        <v>1500</v>
      </c>
      <c r="K54" s="38">
        <f t="shared" si="5"/>
        <v>2250000</v>
      </c>
      <c r="L54" s="232">
        <f t="shared" si="6"/>
        <v>313.45083274523643</v>
      </c>
      <c r="S54" s="15"/>
    </row>
    <row r="55" spans="1:19" x14ac:dyDescent="0.25">
      <c r="A55" s="100" t="s">
        <v>211</v>
      </c>
      <c r="B55" s="100">
        <v>300</v>
      </c>
      <c r="C55" s="101">
        <f t="shared" si="0"/>
        <v>36.077170774170682</v>
      </c>
      <c r="D55" s="102">
        <v>0.51529411764705879</v>
      </c>
      <c r="E55" s="103">
        <v>18.590353881278538</v>
      </c>
      <c r="F55" s="265"/>
      <c r="G55" s="100">
        <v>2025</v>
      </c>
      <c r="J55" s="35">
        <f>B55</f>
        <v>300</v>
      </c>
      <c r="K55" s="299">
        <f>J55^2</f>
        <v>90000</v>
      </c>
      <c r="L55" s="232">
        <f>E55</f>
        <v>18.590353881278538</v>
      </c>
      <c r="M55" s="47">
        <f t="array" ref="M55:O55">LINEST(L55:L58,J55:K58,TRUE,TRUE)</f>
        <v>-5.7394406392694019E-5</v>
      </c>
      <c r="N55" s="40">
        <v>0.18112859589041094</v>
      </c>
      <c r="O55" s="35">
        <v>-29.766301369863026</v>
      </c>
      <c r="P55" s="47">
        <f>ROUND(M55,4)</f>
        <v>-1E-4</v>
      </c>
      <c r="Q55" s="40">
        <f>ROUND(N55,4)</f>
        <v>0.18110000000000001</v>
      </c>
      <c r="R55" s="36">
        <f>ROUND(O55,4)</f>
        <v>-29.766300000000001</v>
      </c>
    </row>
    <row r="56" spans="1:19" x14ac:dyDescent="0.25">
      <c r="A56" s="35" t="s">
        <v>211</v>
      </c>
      <c r="B56" s="35">
        <v>400</v>
      </c>
      <c r="C56" s="36">
        <f t="shared" si="0"/>
        <v>69.76852937803632</v>
      </c>
      <c r="D56" s="37">
        <v>0.51529411764705879</v>
      </c>
      <c r="E56" s="38">
        <v>35.951312785388126</v>
      </c>
      <c r="F56" s="266"/>
      <c r="G56" s="35">
        <v>2025</v>
      </c>
      <c r="J56" s="35">
        <f t="shared" ref="J56:J58" si="7">B56</f>
        <v>400</v>
      </c>
      <c r="K56" s="299">
        <f t="shared" ref="K56:K58" si="8">J56^2</f>
        <v>160000</v>
      </c>
      <c r="L56" s="232">
        <f t="shared" ref="L56:L58" si="9">E56</f>
        <v>35.951312785388126</v>
      </c>
    </row>
    <row r="57" spans="1:19" x14ac:dyDescent="0.25">
      <c r="A57" s="35" t="s">
        <v>211</v>
      </c>
      <c r="B57" s="35">
        <v>500</v>
      </c>
      <c r="C57" s="36">
        <f t="shared" si="0"/>
        <v>85.38834938804446</v>
      </c>
      <c r="D57" s="37">
        <v>0.51529411764705879</v>
      </c>
      <c r="E57" s="38">
        <v>44.00011415525114</v>
      </c>
      <c r="F57" s="266"/>
      <c r="G57" s="35">
        <v>2025</v>
      </c>
      <c r="J57" s="35">
        <f t="shared" si="7"/>
        <v>500</v>
      </c>
      <c r="K57" s="299">
        <f t="shared" si="8"/>
        <v>250000</v>
      </c>
      <c r="L57" s="232">
        <f t="shared" si="9"/>
        <v>44.00011415525114</v>
      </c>
    </row>
    <row r="58" spans="1:19" x14ac:dyDescent="0.25">
      <c r="A58" s="35" t="s">
        <v>211</v>
      </c>
      <c r="B58" s="35">
        <v>600</v>
      </c>
      <c r="C58" s="36">
        <f t="shared" si="0"/>
        <v>114.62443443631284</v>
      </c>
      <c r="D58" s="37">
        <v>0.51529411764705879</v>
      </c>
      <c r="E58" s="38">
        <v>59.065296803652963</v>
      </c>
      <c r="F58" s="266"/>
      <c r="G58" s="35">
        <v>2025</v>
      </c>
      <c r="J58" s="35">
        <f t="shared" si="7"/>
        <v>600</v>
      </c>
      <c r="K58" s="294">
        <f t="shared" si="8"/>
        <v>360000</v>
      </c>
      <c r="L58" s="232">
        <f t="shared" si="9"/>
        <v>59.065296803652963</v>
      </c>
    </row>
    <row r="59" spans="1:19" x14ac:dyDescent="0.25">
      <c r="A59" s="100" t="s">
        <v>212</v>
      </c>
      <c r="B59" s="100">
        <v>300</v>
      </c>
      <c r="C59" s="101">
        <f t="shared" si="0"/>
        <v>35.874271713005832</v>
      </c>
      <c r="D59" s="102">
        <v>1.635</v>
      </c>
      <c r="E59" s="103">
        <v>58.654434250764531</v>
      </c>
      <c r="F59" s="265"/>
      <c r="G59" s="100">
        <v>2025</v>
      </c>
      <c r="J59" s="296">
        <f>B59</f>
        <v>300</v>
      </c>
      <c r="K59" s="38">
        <f>J59^2</f>
        <v>90000</v>
      </c>
      <c r="L59" s="232">
        <f>E59</f>
        <v>58.654434250764531</v>
      </c>
      <c r="M59" s="298">
        <f t="array" ref="M59:O59">LINEST(L59:L66,J59:K66,TRUE,TRUE)</f>
        <v>2.5436871996504981E-4</v>
      </c>
      <c r="N59" s="40">
        <v>0.10922892092616912</v>
      </c>
      <c r="O59" s="35">
        <v>2.9925731760593095</v>
      </c>
      <c r="P59" s="47">
        <f>ROUND(M59,4)</f>
        <v>2.9999999999999997E-4</v>
      </c>
      <c r="Q59" s="40">
        <f>ROUND(N59,4)</f>
        <v>0.10920000000000001</v>
      </c>
      <c r="R59" s="36">
        <f>ROUND(O59,4)</f>
        <v>2.9925999999999999</v>
      </c>
    </row>
    <row r="60" spans="1:19" x14ac:dyDescent="0.25">
      <c r="A60" s="35" t="s">
        <v>212</v>
      </c>
      <c r="B60" s="35">
        <v>400</v>
      </c>
      <c r="C60" s="36">
        <f t="shared" si="0"/>
        <v>53.811407569508738</v>
      </c>
      <c r="D60" s="37">
        <v>1.635</v>
      </c>
      <c r="E60" s="38">
        <v>87.981651376146786</v>
      </c>
      <c r="F60" s="266"/>
      <c r="G60" s="35">
        <v>2025</v>
      </c>
      <c r="J60" s="35">
        <f t="shared" ref="J60:J66" si="10">B60</f>
        <v>400</v>
      </c>
      <c r="K60" s="299">
        <f t="shared" ref="K60:K65" si="11">J60^2</f>
        <v>160000</v>
      </c>
      <c r="L60" s="232">
        <f t="shared" ref="L60:L66" si="12">E60</f>
        <v>87.981651376146786</v>
      </c>
    </row>
    <row r="61" spans="1:19" x14ac:dyDescent="0.25">
      <c r="A61" s="35" t="s">
        <v>212</v>
      </c>
      <c r="B61" s="35">
        <v>500</v>
      </c>
      <c r="C61" s="36">
        <f t="shared" si="0"/>
        <v>74.31099140551207</v>
      </c>
      <c r="D61" s="37">
        <v>1.635</v>
      </c>
      <c r="E61" s="38">
        <v>121.49847094801223</v>
      </c>
      <c r="F61" s="266"/>
      <c r="G61" s="35">
        <v>2025</v>
      </c>
      <c r="J61" s="35">
        <f t="shared" si="10"/>
        <v>500</v>
      </c>
      <c r="K61" s="299">
        <f t="shared" si="11"/>
        <v>250000</v>
      </c>
      <c r="L61" s="232">
        <f t="shared" si="12"/>
        <v>121.49847094801223</v>
      </c>
    </row>
    <row r="62" spans="1:19" x14ac:dyDescent="0.25">
      <c r="A62" s="35" t="s">
        <v>212</v>
      </c>
      <c r="B62" s="35">
        <v>600</v>
      </c>
      <c r="C62" s="36">
        <f t="shared" si="0"/>
        <v>97.373023221015814</v>
      </c>
      <c r="D62" s="37">
        <v>1.635</v>
      </c>
      <c r="E62" s="38">
        <v>159.20489296636086</v>
      </c>
      <c r="F62" s="266"/>
      <c r="G62" s="35">
        <v>2025</v>
      </c>
      <c r="J62" s="35">
        <f t="shared" si="10"/>
        <v>600</v>
      </c>
      <c r="K62" s="294">
        <f t="shared" si="11"/>
        <v>360000</v>
      </c>
      <c r="L62" s="232">
        <f t="shared" si="12"/>
        <v>159.20489296636086</v>
      </c>
    </row>
    <row r="63" spans="1:19" x14ac:dyDescent="0.25">
      <c r="A63" s="35" t="s">
        <v>212</v>
      </c>
      <c r="B63" s="35">
        <v>700</v>
      </c>
      <c r="C63" s="36">
        <f t="shared" si="0"/>
        <v>122.99750301601998</v>
      </c>
      <c r="D63" s="37">
        <v>1.635</v>
      </c>
      <c r="E63" s="38">
        <v>201.10091743119267</v>
      </c>
      <c r="F63" s="266"/>
      <c r="G63" s="35">
        <v>2025</v>
      </c>
      <c r="J63" s="295">
        <f t="shared" si="10"/>
        <v>700</v>
      </c>
      <c r="K63" s="38">
        <f t="shared" si="11"/>
        <v>490000</v>
      </c>
      <c r="L63" s="232">
        <f t="shared" si="12"/>
        <v>201.10091743119267</v>
      </c>
    </row>
    <row r="64" spans="1:19" x14ac:dyDescent="0.25">
      <c r="A64" s="35" t="s">
        <v>212</v>
      </c>
      <c r="B64" s="35">
        <v>800</v>
      </c>
      <c r="C64" s="36">
        <f t="shared" si="0"/>
        <v>156.30932674952541</v>
      </c>
      <c r="D64" s="37">
        <v>1.635</v>
      </c>
      <c r="E64" s="38">
        <v>255.56574923547404</v>
      </c>
      <c r="F64" s="266"/>
      <c r="G64" s="35">
        <v>2025</v>
      </c>
      <c r="J64" s="35">
        <f t="shared" si="10"/>
        <v>800</v>
      </c>
      <c r="K64" s="38">
        <f t="shared" si="11"/>
        <v>640000</v>
      </c>
      <c r="L64" s="232">
        <f t="shared" si="12"/>
        <v>255.56574923547404</v>
      </c>
    </row>
    <row r="65" spans="1:18" x14ac:dyDescent="0.25">
      <c r="A65" s="35" t="s">
        <v>212</v>
      </c>
      <c r="B65" s="35">
        <v>900</v>
      </c>
      <c r="C65" s="36">
        <f t="shared" si="0"/>
        <v>189.62115048303079</v>
      </c>
      <c r="D65" s="37">
        <v>1.635</v>
      </c>
      <c r="E65" s="38">
        <v>310.03058103975536</v>
      </c>
      <c r="F65" s="266"/>
      <c r="G65" s="35">
        <v>2025</v>
      </c>
      <c r="J65" s="35">
        <f t="shared" si="10"/>
        <v>900</v>
      </c>
      <c r="K65" s="38">
        <f t="shared" si="11"/>
        <v>810000</v>
      </c>
      <c r="L65" s="232">
        <f t="shared" si="12"/>
        <v>310.03058103975536</v>
      </c>
    </row>
    <row r="66" spans="1:18" x14ac:dyDescent="0.25">
      <c r="A66" s="35" t="s">
        <v>212</v>
      </c>
      <c r="B66" s="35">
        <v>1000</v>
      </c>
      <c r="C66" s="36">
        <f t="shared" si="0"/>
        <v>222.93297421653622</v>
      </c>
      <c r="D66" s="37">
        <v>1.635</v>
      </c>
      <c r="E66" s="38">
        <v>364.49541284403671</v>
      </c>
      <c r="F66" s="266"/>
      <c r="G66" s="35">
        <v>2025</v>
      </c>
      <c r="J66" s="35">
        <f t="shared" si="10"/>
        <v>1000</v>
      </c>
      <c r="K66" s="38">
        <f>J66^2</f>
        <v>1000000</v>
      </c>
      <c r="L66" s="232">
        <f t="shared" si="12"/>
        <v>364.49541284403671</v>
      </c>
    </row>
    <row r="67" spans="1:18" x14ac:dyDescent="0.25">
      <c r="A67" s="100" t="s">
        <v>213</v>
      </c>
      <c r="B67" s="100">
        <v>300</v>
      </c>
      <c r="C67" s="101">
        <f t="shared" si="0"/>
        <v>20.418183928920325</v>
      </c>
      <c r="D67" s="102">
        <v>2.8410000000000002</v>
      </c>
      <c r="E67" s="103">
        <v>58.008060542062651</v>
      </c>
      <c r="F67" s="265"/>
      <c r="G67" s="100">
        <v>2025</v>
      </c>
      <c r="J67" s="35">
        <f>B67</f>
        <v>300</v>
      </c>
      <c r="K67" s="38">
        <f>J67^2</f>
        <v>90000</v>
      </c>
      <c r="L67" s="232">
        <f>E67</f>
        <v>58.008060542062651</v>
      </c>
      <c r="M67" s="298">
        <f t="array" ref="M67:O67">LINEST(L67:L72,J67:K72,TRUE,TRUE)</f>
        <v>5.1786467290189549E-4</v>
      </c>
      <c r="N67" s="40">
        <v>5.5977585105848195E-2</v>
      </c>
      <c r="O67" s="35">
        <v>-11.60818489465484</v>
      </c>
      <c r="P67" s="47">
        <f>ROUND(M67,4)</f>
        <v>5.0000000000000001E-4</v>
      </c>
      <c r="Q67" s="40">
        <f>ROUND(N67,4)</f>
        <v>5.6000000000000001E-2</v>
      </c>
      <c r="R67" s="36">
        <f>ROUND(O67,4)</f>
        <v>-11.6082</v>
      </c>
    </row>
    <row r="68" spans="1:18" x14ac:dyDescent="0.25">
      <c r="A68" s="35" t="s">
        <v>213</v>
      </c>
      <c r="B68" s="35">
        <v>400</v>
      </c>
      <c r="C68" s="36">
        <f t="shared" si="0"/>
        <v>30.627275893380489</v>
      </c>
      <c r="D68" s="37">
        <v>2.8410000000000002</v>
      </c>
      <c r="E68" s="38">
        <v>87.012090813093977</v>
      </c>
      <c r="F68" s="266"/>
      <c r="G68" s="35">
        <v>2025</v>
      </c>
      <c r="J68" s="35">
        <f t="shared" ref="J68:J72" si="13">B68</f>
        <v>400</v>
      </c>
      <c r="K68" s="38">
        <f t="shared" ref="K68:K72" si="14">J68^2</f>
        <v>160000</v>
      </c>
      <c r="L68" s="232">
        <f t="shared" ref="L68:L72" si="15">E68</f>
        <v>87.012090813093977</v>
      </c>
    </row>
    <row r="69" spans="1:18" x14ac:dyDescent="0.25">
      <c r="A69" s="35" t="s">
        <v>213</v>
      </c>
      <c r="B69" s="35">
        <v>500</v>
      </c>
      <c r="C69" s="36">
        <f t="shared" si="0"/>
        <v>47.64137068205158</v>
      </c>
      <c r="D69" s="37">
        <v>2.8410000000000002</v>
      </c>
      <c r="E69" s="38">
        <v>135.34913410770855</v>
      </c>
      <c r="F69" s="266"/>
      <c r="G69" s="35">
        <v>2025</v>
      </c>
      <c r="J69" s="35">
        <f t="shared" si="13"/>
        <v>500</v>
      </c>
      <c r="K69" s="38">
        <f t="shared" si="14"/>
        <v>250000</v>
      </c>
      <c r="L69" s="232">
        <f t="shared" si="15"/>
        <v>135.34913410770855</v>
      </c>
    </row>
    <row r="70" spans="1:18" x14ac:dyDescent="0.25">
      <c r="A70" s="35" t="s">
        <v>213</v>
      </c>
      <c r="B70" s="35">
        <v>600</v>
      </c>
      <c r="C70" s="36">
        <f t="shared" si="0"/>
        <v>76.566602005307459</v>
      </c>
      <c r="D70" s="37">
        <v>2.8410000000000002</v>
      </c>
      <c r="E70" s="38">
        <v>217.5257162970785</v>
      </c>
      <c r="F70" s="266"/>
      <c r="G70" s="35">
        <v>2025</v>
      </c>
      <c r="J70" s="35">
        <f t="shared" si="13"/>
        <v>600</v>
      </c>
      <c r="K70" s="38">
        <f t="shared" si="14"/>
        <v>360000</v>
      </c>
      <c r="L70" s="232">
        <f t="shared" si="15"/>
        <v>217.5257162970785</v>
      </c>
    </row>
    <row r="71" spans="1:18" x14ac:dyDescent="0.25">
      <c r="A71" s="35" t="s">
        <v>213</v>
      </c>
      <c r="B71" s="35">
        <v>700</v>
      </c>
      <c r="C71" s="36">
        <f t="shared" si="0"/>
        <v>102.08774418831409</v>
      </c>
      <c r="D71" s="37">
        <v>2.8410000000000002</v>
      </c>
      <c r="E71" s="38">
        <v>290.03128123900035</v>
      </c>
      <c r="F71" s="266"/>
      <c r="G71" s="35">
        <v>2025</v>
      </c>
      <c r="J71" s="35">
        <f t="shared" si="13"/>
        <v>700</v>
      </c>
      <c r="K71" s="38">
        <f t="shared" si="14"/>
        <v>490000</v>
      </c>
      <c r="L71" s="232">
        <f t="shared" si="15"/>
        <v>290.03128123900035</v>
      </c>
    </row>
    <row r="72" spans="1:18" x14ac:dyDescent="0.25">
      <c r="A72" s="35" t="s">
        <v>213</v>
      </c>
      <c r="B72" s="35">
        <v>800</v>
      </c>
      <c r="C72" s="36">
        <f t="shared" si="0"/>
        <v>125.90684180119609</v>
      </c>
      <c r="D72" s="37">
        <v>2.8410000000000002</v>
      </c>
      <c r="E72" s="38">
        <v>357.70133755719814</v>
      </c>
      <c r="F72" s="266"/>
      <c r="G72" s="35">
        <v>2025</v>
      </c>
      <c r="J72" s="35">
        <f t="shared" si="13"/>
        <v>800</v>
      </c>
      <c r="K72" s="38">
        <f t="shared" si="14"/>
        <v>640000</v>
      </c>
      <c r="L72" s="232">
        <f t="shared" si="15"/>
        <v>357.70133755719814</v>
      </c>
    </row>
    <row r="73" spans="1:18" x14ac:dyDescent="0.25">
      <c r="A73" s="100" t="s">
        <v>214</v>
      </c>
      <c r="B73" s="100">
        <v>300</v>
      </c>
      <c r="C73" s="101">
        <f t="shared" si="0"/>
        <v>7.4815351669483121</v>
      </c>
      <c r="D73" s="102">
        <v>2.62</v>
      </c>
      <c r="E73" s="103">
        <v>19.601622137404579</v>
      </c>
      <c r="F73" s="267" t="s">
        <v>317</v>
      </c>
      <c r="G73" s="256">
        <v>2025</v>
      </c>
      <c r="J73" s="35">
        <f>B73</f>
        <v>300</v>
      </c>
      <c r="K73" s="38">
        <f>J73^2</f>
        <v>90000</v>
      </c>
      <c r="L73" s="293">
        <f>E73</f>
        <v>19.601622137404579</v>
      </c>
      <c r="M73" s="47">
        <f t="array" ref="M73:O73">LINEST(L73:L78,J73:K78,TRUE,TRUE)</f>
        <v>3.0741821155943268E-4</v>
      </c>
      <c r="N73" s="40">
        <v>-7.7310687022900559E-2</v>
      </c>
      <c r="O73" s="35">
        <v>15.525294438386013</v>
      </c>
      <c r="P73" s="47">
        <f>ROUND(M73,4)</f>
        <v>2.9999999999999997E-4</v>
      </c>
      <c r="Q73" s="40">
        <f>ROUND(N73,4)</f>
        <v>-7.7299999999999994E-2</v>
      </c>
      <c r="R73" s="36">
        <f>ROUND(O73,4)</f>
        <v>15.5253</v>
      </c>
    </row>
    <row r="74" spans="1:18" x14ac:dyDescent="0.25">
      <c r="A74" s="35" t="s">
        <v>214</v>
      </c>
      <c r="B74" s="35">
        <v>400</v>
      </c>
      <c r="C74" s="36">
        <f t="shared" si="0"/>
        <v>13.463157741390363</v>
      </c>
      <c r="D74" s="37">
        <f>D73</f>
        <v>2.62</v>
      </c>
      <c r="E74" s="38">
        <v>35.273473282442751</v>
      </c>
      <c r="F74" s="266"/>
      <c r="G74" s="35">
        <v>2025</v>
      </c>
      <c r="J74" s="35">
        <f t="shared" ref="J74:J78" si="16">B74</f>
        <v>400</v>
      </c>
      <c r="K74" s="38">
        <f t="shared" ref="K74:K78" si="17">J74^2</f>
        <v>160000</v>
      </c>
      <c r="L74" s="232">
        <f t="shared" ref="L74:L78" si="18">E74</f>
        <v>35.273473282442751</v>
      </c>
    </row>
    <row r="75" spans="1:18" x14ac:dyDescent="0.25">
      <c r="A75" s="35" t="s">
        <v>214</v>
      </c>
      <c r="B75" s="35">
        <v>500</v>
      </c>
      <c r="C75" s="36">
        <f t="shared" si="0"/>
        <v>20.612981469611327</v>
      </c>
      <c r="D75" s="37">
        <f t="shared" ref="D75:D78" si="19">D74</f>
        <v>2.62</v>
      </c>
      <c r="E75" s="38">
        <v>54.006011450381678</v>
      </c>
      <c r="F75" s="266"/>
      <c r="G75" s="35">
        <v>2025</v>
      </c>
      <c r="J75" s="35">
        <f t="shared" si="16"/>
        <v>500</v>
      </c>
      <c r="K75" s="38">
        <f t="shared" si="17"/>
        <v>250000</v>
      </c>
      <c r="L75" s="232">
        <f t="shared" si="18"/>
        <v>54.006011450381678</v>
      </c>
    </row>
    <row r="76" spans="1:18" x14ac:dyDescent="0.25">
      <c r="A76" s="35" t="s">
        <v>214</v>
      </c>
      <c r="B76" s="35">
        <v>600</v>
      </c>
      <c r="C76" s="36">
        <f t="shared" si="0"/>
        <v>28.256766796806712</v>
      </c>
      <c r="D76" s="37">
        <f t="shared" si="19"/>
        <v>2.62</v>
      </c>
      <c r="E76" s="38">
        <v>74.032729007633591</v>
      </c>
      <c r="F76" s="266"/>
      <c r="G76" s="35">
        <v>2025</v>
      </c>
      <c r="J76" s="35">
        <f t="shared" si="16"/>
        <v>600</v>
      </c>
      <c r="K76" s="38">
        <f t="shared" si="17"/>
        <v>360000</v>
      </c>
      <c r="L76" s="232">
        <f t="shared" si="18"/>
        <v>74.032729007633591</v>
      </c>
    </row>
    <row r="77" spans="1:18" x14ac:dyDescent="0.25">
      <c r="A77" s="35" t="s">
        <v>214</v>
      </c>
      <c r="B77" s="35">
        <v>700</v>
      </c>
      <c r="C77" s="36">
        <f t="shared" si="0"/>
        <v>45.343511450381683</v>
      </c>
      <c r="D77" s="37">
        <f t="shared" si="19"/>
        <v>2.62</v>
      </c>
      <c r="E77" s="38">
        <v>118.80000000000001</v>
      </c>
      <c r="F77" s="266"/>
      <c r="G77" s="35">
        <v>2025</v>
      </c>
      <c r="J77" s="35">
        <f t="shared" si="16"/>
        <v>700</v>
      </c>
      <c r="K77" s="38">
        <f t="shared" si="17"/>
        <v>490000</v>
      </c>
      <c r="L77" s="232">
        <f t="shared" si="18"/>
        <v>118.80000000000001</v>
      </c>
    </row>
    <row r="78" spans="1:18" x14ac:dyDescent="0.25">
      <c r="A78" s="35" t="s">
        <v>214</v>
      </c>
      <c r="B78" s="35">
        <v>800</v>
      </c>
      <c r="C78" s="36">
        <f t="shared" si="0"/>
        <v>56.517139152730024</v>
      </c>
      <c r="D78" s="37">
        <f t="shared" si="19"/>
        <v>2.62</v>
      </c>
      <c r="E78" s="38">
        <v>148.07490458015266</v>
      </c>
      <c r="F78" s="266"/>
      <c r="G78" s="35">
        <v>2025</v>
      </c>
      <c r="J78" s="35">
        <f t="shared" si="16"/>
        <v>800</v>
      </c>
      <c r="K78" s="38">
        <f t="shared" si="17"/>
        <v>640000</v>
      </c>
      <c r="L78" s="232">
        <f t="shared" si="18"/>
        <v>148.07490458015266</v>
      </c>
    </row>
    <row r="79" spans="1:18" x14ac:dyDescent="0.25">
      <c r="A79" s="100" t="s">
        <v>215</v>
      </c>
      <c r="B79" s="100">
        <v>300</v>
      </c>
      <c r="C79" s="101">
        <f t="shared" si="0"/>
        <v>9.9297048611111123</v>
      </c>
      <c r="D79" s="102">
        <v>2.4</v>
      </c>
      <c r="E79" s="103">
        <v>23.831291666666669</v>
      </c>
      <c r="F79" s="265" t="s">
        <v>318</v>
      </c>
      <c r="G79" s="256">
        <v>2025</v>
      </c>
      <c r="J79" s="35">
        <f>B79</f>
        <v>300</v>
      </c>
      <c r="K79" s="38">
        <f>J79^2</f>
        <v>90000</v>
      </c>
      <c r="L79" s="293">
        <f>E79</f>
        <v>23.831291666666669</v>
      </c>
      <c r="M79" s="47">
        <f t="array" ref="M79:O79">LINEST(L79:L91,J79:K91,TRUE,TRUE)</f>
        <v>2.1335636030636026E-4</v>
      </c>
      <c r="N79" s="40">
        <v>7.7303417415918833E-3</v>
      </c>
      <c r="O79" s="35">
        <v>3.4907078338327437</v>
      </c>
      <c r="P79" s="47">
        <f>ROUND(M79,4)</f>
        <v>2.0000000000000001E-4</v>
      </c>
      <c r="Q79" s="40">
        <f>ROUND(N79,4)</f>
        <v>7.7000000000000002E-3</v>
      </c>
      <c r="R79" s="36">
        <f>ROUND(O79,4)</f>
        <v>3.4906999999999999</v>
      </c>
    </row>
    <row r="80" spans="1:18" x14ac:dyDescent="0.25">
      <c r="A80" s="35" t="s">
        <v>215</v>
      </c>
      <c r="B80" s="35">
        <v>400</v>
      </c>
      <c r="C80" s="36">
        <f t="shared" si="0"/>
        <v>17.485329861111115</v>
      </c>
      <c r="D80" s="37">
        <f>D79</f>
        <v>2.4</v>
      </c>
      <c r="E80" s="38">
        <v>41.964791666666677</v>
      </c>
      <c r="F80" s="266"/>
      <c r="G80" s="35">
        <v>2025</v>
      </c>
      <c r="J80" s="35">
        <f t="shared" ref="J80:J91" si="20">B80</f>
        <v>400</v>
      </c>
      <c r="K80" s="38">
        <f t="shared" ref="K80:K91" si="21">J80^2</f>
        <v>160000</v>
      </c>
      <c r="L80" s="232">
        <f t="shared" ref="L80:L91" si="22">E80</f>
        <v>41.964791666666677</v>
      </c>
    </row>
    <row r="81" spans="1:18" x14ac:dyDescent="0.25">
      <c r="A81" s="35" t="s">
        <v>215</v>
      </c>
      <c r="B81" s="35">
        <v>500</v>
      </c>
      <c r="C81" s="36">
        <f t="shared" si="0"/>
        <v>26.550989583333333</v>
      </c>
      <c r="D81" s="37">
        <f t="shared" ref="D81:D90" si="23">D80</f>
        <v>2.4</v>
      </c>
      <c r="E81" s="38">
        <v>63.722375</v>
      </c>
      <c r="F81" s="266"/>
      <c r="G81" s="35">
        <v>2025</v>
      </c>
      <c r="J81" s="35">
        <f t="shared" si="20"/>
        <v>500</v>
      </c>
      <c r="K81" s="38">
        <f t="shared" si="21"/>
        <v>250000</v>
      </c>
      <c r="L81" s="232">
        <f t="shared" si="22"/>
        <v>63.722375</v>
      </c>
    </row>
    <row r="82" spans="1:18" x14ac:dyDescent="0.25">
      <c r="A82" s="35" t="s">
        <v>215</v>
      </c>
      <c r="B82" s="35">
        <v>600</v>
      </c>
      <c r="C82" s="36">
        <f t="shared" si="0"/>
        <v>34.321944444444448</v>
      </c>
      <c r="D82" s="37">
        <f t="shared" si="23"/>
        <v>2.4</v>
      </c>
      <c r="E82" s="38">
        <v>82.372666666666674</v>
      </c>
      <c r="F82" s="266"/>
      <c r="G82" s="35">
        <v>2025</v>
      </c>
      <c r="J82" s="35">
        <f t="shared" si="20"/>
        <v>600</v>
      </c>
      <c r="K82" s="38">
        <f t="shared" si="21"/>
        <v>360000</v>
      </c>
      <c r="L82" s="232">
        <f t="shared" si="22"/>
        <v>82.372666666666674</v>
      </c>
    </row>
    <row r="83" spans="1:18" x14ac:dyDescent="0.25">
      <c r="A83" s="35" t="s">
        <v>215</v>
      </c>
      <c r="B83" s="35">
        <v>700</v>
      </c>
      <c r="C83" s="36">
        <f t="shared" si="0"/>
        <v>46.625729166666673</v>
      </c>
      <c r="D83" s="37">
        <f t="shared" si="23"/>
        <v>2.4</v>
      </c>
      <c r="E83" s="38">
        <v>111.90175000000001</v>
      </c>
      <c r="F83" s="266"/>
      <c r="G83" s="35">
        <v>2025</v>
      </c>
      <c r="J83" s="35">
        <f t="shared" si="20"/>
        <v>700</v>
      </c>
      <c r="K83" s="38">
        <f t="shared" si="21"/>
        <v>490000</v>
      </c>
      <c r="L83" s="232">
        <f t="shared" si="22"/>
        <v>111.90175000000001</v>
      </c>
    </row>
    <row r="84" spans="1:18" x14ac:dyDescent="0.25">
      <c r="A84" s="35" t="s">
        <v>215</v>
      </c>
      <c r="B84" s="35">
        <v>800</v>
      </c>
      <c r="C84" s="36">
        <f t="shared" si="0"/>
        <v>60.872934027777781</v>
      </c>
      <c r="D84" s="37">
        <f t="shared" si="23"/>
        <v>2.4</v>
      </c>
      <c r="E84" s="38">
        <v>146.09504166666667</v>
      </c>
      <c r="F84" s="266"/>
      <c r="G84" s="35">
        <v>2025</v>
      </c>
      <c r="J84" s="35">
        <f t="shared" si="20"/>
        <v>800</v>
      </c>
      <c r="K84" s="38">
        <f t="shared" si="21"/>
        <v>640000</v>
      </c>
      <c r="L84" s="232">
        <f t="shared" si="22"/>
        <v>146.09504166666667</v>
      </c>
    </row>
    <row r="85" spans="1:18" x14ac:dyDescent="0.25">
      <c r="A85" s="35" t="s">
        <v>215</v>
      </c>
      <c r="B85" s="35">
        <v>900</v>
      </c>
      <c r="C85" s="36">
        <f t="shared" si="0"/>
        <v>76.414843750000017</v>
      </c>
      <c r="D85" s="37">
        <f t="shared" si="23"/>
        <v>2.4</v>
      </c>
      <c r="E85" s="38">
        <v>183.39562500000002</v>
      </c>
      <c r="F85" s="266"/>
      <c r="G85" s="35">
        <v>2025</v>
      </c>
      <c r="J85" s="295">
        <f t="shared" si="20"/>
        <v>900</v>
      </c>
      <c r="K85" s="300">
        <f t="shared" si="21"/>
        <v>810000</v>
      </c>
      <c r="L85" s="232">
        <f t="shared" si="22"/>
        <v>183.39562500000002</v>
      </c>
    </row>
    <row r="86" spans="1:18" x14ac:dyDescent="0.25">
      <c r="A86" s="35" t="s">
        <v>215</v>
      </c>
      <c r="B86" s="35">
        <v>1000</v>
      </c>
      <c r="C86" s="36">
        <f t="shared" si="0"/>
        <v>93.900173611111128</v>
      </c>
      <c r="D86" s="37">
        <f t="shared" si="23"/>
        <v>2.4</v>
      </c>
      <c r="E86" s="38">
        <v>225.36041666666671</v>
      </c>
      <c r="F86" s="266"/>
      <c r="G86" s="35">
        <v>2025</v>
      </c>
      <c r="J86" s="35">
        <f t="shared" si="20"/>
        <v>1000</v>
      </c>
      <c r="K86" s="38">
        <f t="shared" si="21"/>
        <v>1000000</v>
      </c>
      <c r="L86" s="232">
        <f t="shared" si="22"/>
        <v>225.36041666666671</v>
      </c>
    </row>
    <row r="87" spans="1:18" x14ac:dyDescent="0.25">
      <c r="A87" s="35" t="s">
        <v>215</v>
      </c>
      <c r="B87" s="35">
        <v>1100</v>
      </c>
      <c r="C87" s="36">
        <f t="shared" si="0"/>
        <v>112.68020833333334</v>
      </c>
      <c r="D87" s="37">
        <f t="shared" si="23"/>
        <v>2.4</v>
      </c>
      <c r="E87" s="38">
        <v>270.4325</v>
      </c>
      <c r="F87" s="266"/>
      <c r="G87" s="35">
        <v>2025</v>
      </c>
      <c r="J87" s="35">
        <f t="shared" si="20"/>
        <v>1100</v>
      </c>
      <c r="K87" s="38">
        <f t="shared" si="21"/>
        <v>1210000</v>
      </c>
      <c r="L87" s="232">
        <f t="shared" si="22"/>
        <v>270.4325</v>
      </c>
    </row>
    <row r="88" spans="1:18" x14ac:dyDescent="0.25">
      <c r="A88" s="35" t="s">
        <v>215</v>
      </c>
      <c r="B88" s="35">
        <v>1200</v>
      </c>
      <c r="C88" s="36">
        <f t="shared" si="0"/>
        <v>133.40366319444445</v>
      </c>
      <c r="D88" s="37">
        <f t="shared" si="23"/>
        <v>2.4</v>
      </c>
      <c r="E88" s="38">
        <v>320.16879166666666</v>
      </c>
      <c r="F88" s="266"/>
      <c r="G88" s="35">
        <v>2025</v>
      </c>
      <c r="J88" s="35">
        <f t="shared" si="20"/>
        <v>1200</v>
      </c>
      <c r="K88" s="38">
        <f t="shared" si="21"/>
        <v>1440000</v>
      </c>
      <c r="L88" s="232">
        <f t="shared" si="22"/>
        <v>320.16879166666666</v>
      </c>
    </row>
    <row r="89" spans="1:18" x14ac:dyDescent="0.25">
      <c r="A89" s="35" t="s">
        <v>215</v>
      </c>
      <c r="B89" s="35">
        <v>1300</v>
      </c>
      <c r="C89" s="36">
        <f t="shared" si="0"/>
        <v>155.69166666666669</v>
      </c>
      <c r="D89" s="37">
        <f t="shared" si="23"/>
        <v>2.4</v>
      </c>
      <c r="E89" s="38">
        <v>373.66</v>
      </c>
      <c r="F89" s="266"/>
      <c r="G89" s="35">
        <v>2025</v>
      </c>
      <c r="J89" s="35">
        <f t="shared" si="20"/>
        <v>1300</v>
      </c>
      <c r="K89" s="38">
        <f t="shared" si="21"/>
        <v>1690000</v>
      </c>
      <c r="L89" s="232">
        <f t="shared" si="22"/>
        <v>373.66</v>
      </c>
    </row>
    <row r="90" spans="1:18" x14ac:dyDescent="0.25">
      <c r="A90" s="35" t="s">
        <v>215</v>
      </c>
      <c r="B90" s="35">
        <v>1400</v>
      </c>
      <c r="C90" s="36">
        <f t="shared" si="0"/>
        <v>180.67810763888889</v>
      </c>
      <c r="D90" s="37">
        <f t="shared" si="23"/>
        <v>2.4</v>
      </c>
      <c r="E90" s="38">
        <v>433.62745833333332</v>
      </c>
      <c r="F90" s="266"/>
      <c r="G90" s="35">
        <v>2025</v>
      </c>
      <c r="J90" s="35">
        <f t="shared" si="20"/>
        <v>1400</v>
      </c>
      <c r="K90" s="38">
        <f>J90^2</f>
        <v>1960000</v>
      </c>
      <c r="L90" s="232">
        <f t="shared" si="22"/>
        <v>433.62745833333332</v>
      </c>
    </row>
    <row r="91" spans="1:18" x14ac:dyDescent="0.25">
      <c r="A91" s="35" t="s">
        <v>215</v>
      </c>
      <c r="B91" s="35">
        <v>1500</v>
      </c>
      <c r="C91" s="36">
        <f t="shared" si="0"/>
        <v>205.93439236111112</v>
      </c>
      <c r="D91" s="37">
        <f>D83</f>
        <v>2.4</v>
      </c>
      <c r="E91" s="38">
        <v>494.24254166666668</v>
      </c>
      <c r="F91" s="266"/>
      <c r="G91" s="35">
        <v>2025</v>
      </c>
      <c r="J91" s="35">
        <f t="shared" si="20"/>
        <v>1500</v>
      </c>
      <c r="K91" s="38">
        <f t="shared" si="21"/>
        <v>2250000</v>
      </c>
      <c r="L91" s="232">
        <f t="shared" si="22"/>
        <v>494.24254166666668</v>
      </c>
    </row>
    <row r="92" spans="1:18" x14ac:dyDescent="0.25">
      <c r="A92" s="100" t="s">
        <v>307</v>
      </c>
      <c r="B92" s="100">
        <v>300</v>
      </c>
      <c r="C92" s="101">
        <v>29.248091603053432</v>
      </c>
      <c r="D92" s="102">
        <v>2.3250000000000002</v>
      </c>
      <c r="E92" s="103">
        <f>C92*D92</f>
        <v>68.001812977099235</v>
      </c>
      <c r="F92" s="265"/>
      <c r="G92" s="269">
        <v>2025</v>
      </c>
      <c r="J92" s="35">
        <f>B92</f>
        <v>300</v>
      </c>
      <c r="K92" s="38">
        <f>J92^2</f>
        <v>90000</v>
      </c>
      <c r="L92" s="87">
        <f>E92</f>
        <v>68.001812977099235</v>
      </c>
      <c r="M92" s="47">
        <f t="array" ref="M92:O92">LINEST(L92:L108,J92:K108,TRUE,TRUE)</f>
        <v>1.9552272197476434E-4</v>
      </c>
      <c r="N92" s="40">
        <v>-0.2654656424898022</v>
      </c>
      <c r="O92" s="35">
        <v>195.48752085976628</v>
      </c>
      <c r="P92" s="47">
        <f>ROUND(M92,4)</f>
        <v>2.0000000000000001E-4</v>
      </c>
      <c r="Q92" s="40">
        <f>ROUND(N92,4)</f>
        <v>-0.26550000000000001</v>
      </c>
      <c r="R92" s="36">
        <f>ROUND(O92,4)</f>
        <v>195.48750000000001</v>
      </c>
    </row>
    <row r="93" spans="1:18" x14ac:dyDescent="0.25">
      <c r="A93" s="35" t="s">
        <v>307</v>
      </c>
      <c r="B93" s="35">
        <v>400</v>
      </c>
      <c r="C93" s="36">
        <v>46.893129770992402</v>
      </c>
      <c r="D93" s="37">
        <v>2.3250000000000002</v>
      </c>
      <c r="E93" s="38">
        <f t="shared" ref="E93:E108" si="24">C93*D93</f>
        <v>109.02652671755735</v>
      </c>
      <c r="F93" s="266"/>
      <c r="G93" s="211">
        <v>2025</v>
      </c>
      <c r="J93" s="295">
        <f t="shared" ref="J93:J108" si="25">B93</f>
        <v>400</v>
      </c>
      <c r="K93" s="300">
        <f t="shared" ref="K93:K108" si="26">J93^2</f>
        <v>160000</v>
      </c>
      <c r="L93" s="87">
        <f t="shared" ref="L93:L108" si="27">E93</f>
        <v>109.02652671755735</v>
      </c>
    </row>
    <row r="94" spans="1:18" x14ac:dyDescent="0.25">
      <c r="A94" s="35" t="s">
        <v>307</v>
      </c>
      <c r="B94" s="35">
        <v>500</v>
      </c>
      <c r="C94" s="36">
        <v>74.717557251908389</v>
      </c>
      <c r="D94" s="35">
        <v>2.3250000000000002</v>
      </c>
      <c r="E94" s="38">
        <f t="shared" si="24"/>
        <v>173.71832061068702</v>
      </c>
      <c r="F94" s="266"/>
      <c r="G94" s="211">
        <v>2025</v>
      </c>
      <c r="J94" s="35">
        <f t="shared" si="25"/>
        <v>500</v>
      </c>
      <c r="K94" s="38">
        <f t="shared" si="26"/>
        <v>250000</v>
      </c>
      <c r="L94" s="87">
        <f t="shared" si="27"/>
        <v>173.71832061068702</v>
      </c>
    </row>
    <row r="95" spans="1:18" x14ac:dyDescent="0.25">
      <c r="A95" s="35" t="s">
        <v>307</v>
      </c>
      <c r="B95" s="35">
        <v>600</v>
      </c>
      <c r="C95" s="36">
        <v>124.82442748091603</v>
      </c>
      <c r="D95" s="35">
        <v>2.3250000000000002</v>
      </c>
      <c r="E95" s="38">
        <f t="shared" si="24"/>
        <v>290.21679389312976</v>
      </c>
      <c r="F95" s="266"/>
      <c r="G95" s="211">
        <v>2025</v>
      </c>
      <c r="J95" s="35">
        <f t="shared" si="25"/>
        <v>600</v>
      </c>
      <c r="K95" s="38">
        <f t="shared" si="26"/>
        <v>360000</v>
      </c>
      <c r="L95" s="87">
        <f t="shared" si="27"/>
        <v>290.21679389312976</v>
      </c>
    </row>
    <row r="96" spans="1:18" x14ac:dyDescent="0.25">
      <c r="A96" s="35" t="s">
        <v>307</v>
      </c>
      <c r="B96" s="35">
        <v>600</v>
      </c>
      <c r="C96" s="36">
        <v>19.66</v>
      </c>
      <c r="D96" s="42">
        <v>2.3250000000000002</v>
      </c>
      <c r="E96" s="38">
        <f t="shared" si="24"/>
        <v>45.709500000000006</v>
      </c>
      <c r="F96" s="266"/>
      <c r="G96" s="211">
        <v>2025</v>
      </c>
      <c r="J96" s="35">
        <f t="shared" si="25"/>
        <v>600</v>
      </c>
      <c r="K96" s="38">
        <f t="shared" si="26"/>
        <v>360000</v>
      </c>
      <c r="L96" s="87">
        <f t="shared" si="27"/>
        <v>45.709500000000006</v>
      </c>
    </row>
    <row r="97" spans="1:12" x14ac:dyDescent="0.25">
      <c r="A97" s="35" t="s">
        <v>307</v>
      </c>
      <c r="B97" s="35">
        <v>700</v>
      </c>
      <c r="C97" s="36">
        <v>27.5</v>
      </c>
      <c r="D97" s="42">
        <v>2.3250000000000002</v>
      </c>
      <c r="E97" s="38">
        <f t="shared" si="24"/>
        <v>63.937500000000007</v>
      </c>
      <c r="F97" s="266"/>
      <c r="G97" s="211">
        <v>2025</v>
      </c>
      <c r="J97" s="35">
        <f t="shared" si="25"/>
        <v>700</v>
      </c>
      <c r="K97" s="38">
        <f t="shared" si="26"/>
        <v>490000</v>
      </c>
      <c r="L97" s="87">
        <f t="shared" si="27"/>
        <v>63.937500000000007</v>
      </c>
    </row>
    <row r="98" spans="1:12" x14ac:dyDescent="0.25">
      <c r="A98" s="35" t="s">
        <v>307</v>
      </c>
      <c r="B98" s="35">
        <v>800</v>
      </c>
      <c r="C98" s="36">
        <v>34.83</v>
      </c>
      <c r="D98" s="42">
        <v>2.3250000000000002</v>
      </c>
      <c r="E98" s="38">
        <f t="shared" si="24"/>
        <v>80.979749999999996</v>
      </c>
      <c r="F98" s="266"/>
      <c r="G98" s="211">
        <v>2025</v>
      </c>
      <c r="J98" s="35">
        <f t="shared" si="25"/>
        <v>800</v>
      </c>
      <c r="K98" s="38">
        <f t="shared" si="26"/>
        <v>640000</v>
      </c>
      <c r="L98" s="87">
        <f t="shared" si="27"/>
        <v>80.979749999999996</v>
      </c>
    </row>
    <row r="99" spans="1:12" x14ac:dyDescent="0.25">
      <c r="A99" s="35" t="s">
        <v>307</v>
      </c>
      <c r="B99" s="35">
        <v>900</v>
      </c>
      <c r="C99" s="36">
        <v>38.83</v>
      </c>
      <c r="D99" s="42">
        <v>2.3250000000000002</v>
      </c>
      <c r="E99" s="38">
        <f t="shared" si="24"/>
        <v>90.279750000000007</v>
      </c>
      <c r="F99" s="266"/>
      <c r="G99" s="211">
        <v>2025</v>
      </c>
      <c r="J99" s="35">
        <f t="shared" si="25"/>
        <v>900</v>
      </c>
      <c r="K99" s="38">
        <f t="shared" si="26"/>
        <v>810000</v>
      </c>
      <c r="L99" s="87">
        <f t="shared" si="27"/>
        <v>90.279750000000007</v>
      </c>
    </row>
    <row r="100" spans="1:12" x14ac:dyDescent="0.25">
      <c r="A100" s="35" t="s">
        <v>307</v>
      </c>
      <c r="B100" s="35">
        <v>1000</v>
      </c>
      <c r="C100" s="36">
        <v>43</v>
      </c>
      <c r="D100" s="42">
        <v>2.3250000000000002</v>
      </c>
      <c r="E100" s="38">
        <f t="shared" si="24"/>
        <v>99.975000000000009</v>
      </c>
      <c r="F100" s="266"/>
      <c r="G100" s="211">
        <v>2025</v>
      </c>
      <c r="J100" s="35">
        <f t="shared" si="25"/>
        <v>1000</v>
      </c>
      <c r="K100" s="38">
        <f t="shared" si="26"/>
        <v>1000000</v>
      </c>
      <c r="L100" s="87">
        <f t="shared" si="27"/>
        <v>99.975000000000009</v>
      </c>
    </row>
    <row r="101" spans="1:12" x14ac:dyDescent="0.25">
      <c r="A101" s="35" t="s">
        <v>307</v>
      </c>
      <c r="B101" s="35">
        <v>1100</v>
      </c>
      <c r="C101" s="36">
        <v>57.66</v>
      </c>
      <c r="D101" s="42">
        <v>2.3250000000000002</v>
      </c>
      <c r="E101" s="38">
        <f t="shared" si="24"/>
        <v>134.05950000000001</v>
      </c>
      <c r="F101" s="266"/>
      <c r="G101" s="211">
        <v>2025</v>
      </c>
      <c r="J101" s="35">
        <f t="shared" si="25"/>
        <v>1100</v>
      </c>
      <c r="K101" s="38">
        <f t="shared" si="26"/>
        <v>1210000</v>
      </c>
      <c r="L101" s="87">
        <f t="shared" si="27"/>
        <v>134.05950000000001</v>
      </c>
    </row>
    <row r="102" spans="1:12" x14ac:dyDescent="0.25">
      <c r="A102" s="35" t="s">
        <v>307</v>
      </c>
      <c r="B102" s="35">
        <v>1200</v>
      </c>
      <c r="C102" s="36">
        <v>62.83</v>
      </c>
      <c r="D102" s="42">
        <v>2.3250000000000002</v>
      </c>
      <c r="E102" s="38">
        <f t="shared" si="24"/>
        <v>146.07975000000002</v>
      </c>
      <c r="F102" s="266"/>
      <c r="G102" s="211">
        <v>2025</v>
      </c>
      <c r="J102" s="35">
        <f t="shared" si="25"/>
        <v>1200</v>
      </c>
      <c r="K102" s="38">
        <f t="shared" si="26"/>
        <v>1440000</v>
      </c>
      <c r="L102" s="87">
        <f t="shared" si="27"/>
        <v>146.07975000000002</v>
      </c>
    </row>
    <row r="103" spans="1:12" x14ac:dyDescent="0.25">
      <c r="A103" s="35" t="s">
        <v>307</v>
      </c>
      <c r="B103" s="35">
        <v>1300</v>
      </c>
      <c r="C103" s="36">
        <v>88.5</v>
      </c>
      <c r="D103" s="42">
        <v>2.3250000000000002</v>
      </c>
      <c r="E103" s="38">
        <f t="shared" si="24"/>
        <v>205.76250000000002</v>
      </c>
      <c r="F103" s="266"/>
      <c r="G103" s="211">
        <v>2025</v>
      </c>
      <c r="J103" s="35">
        <f t="shared" si="25"/>
        <v>1300</v>
      </c>
      <c r="K103" s="38">
        <f t="shared" si="26"/>
        <v>1690000</v>
      </c>
      <c r="L103" s="87">
        <f t="shared" si="27"/>
        <v>205.76250000000002</v>
      </c>
    </row>
    <row r="104" spans="1:12" x14ac:dyDescent="0.25">
      <c r="A104" s="35" t="s">
        <v>307</v>
      </c>
      <c r="B104" s="35">
        <v>1400</v>
      </c>
      <c r="C104" s="36">
        <v>95</v>
      </c>
      <c r="D104" s="42">
        <v>2.3250000000000002</v>
      </c>
      <c r="E104" s="38">
        <f t="shared" si="24"/>
        <v>220.87500000000003</v>
      </c>
      <c r="F104" s="266"/>
      <c r="G104" s="211">
        <v>2025</v>
      </c>
      <c r="J104" s="35">
        <f t="shared" si="25"/>
        <v>1400</v>
      </c>
      <c r="K104" s="38">
        <f t="shared" si="26"/>
        <v>1960000</v>
      </c>
      <c r="L104" s="87">
        <f t="shared" si="27"/>
        <v>220.87500000000003</v>
      </c>
    </row>
    <row r="105" spans="1:12" x14ac:dyDescent="0.25">
      <c r="A105" s="35" t="s">
        <v>307</v>
      </c>
      <c r="B105" s="35">
        <v>1500</v>
      </c>
      <c r="C105" s="36">
        <v>101.5</v>
      </c>
      <c r="D105" s="42">
        <v>2.3250000000000002</v>
      </c>
      <c r="E105" s="38">
        <f t="shared" si="24"/>
        <v>235.98750000000001</v>
      </c>
      <c r="F105" s="266"/>
      <c r="G105" s="211">
        <v>2025</v>
      </c>
      <c r="J105" s="35">
        <f t="shared" si="25"/>
        <v>1500</v>
      </c>
      <c r="K105" s="38">
        <f t="shared" si="26"/>
        <v>2250000</v>
      </c>
      <c r="L105" s="87">
        <f t="shared" si="27"/>
        <v>235.98750000000001</v>
      </c>
    </row>
    <row r="106" spans="1:12" x14ac:dyDescent="0.25">
      <c r="A106" s="35" t="s">
        <v>307</v>
      </c>
      <c r="B106" s="35">
        <v>1600</v>
      </c>
      <c r="C106" s="36">
        <v>118.66</v>
      </c>
      <c r="D106" s="42">
        <v>2.3250000000000002</v>
      </c>
      <c r="E106" s="38">
        <f t="shared" si="24"/>
        <v>275.8845</v>
      </c>
      <c r="F106" s="266"/>
      <c r="G106" s="211">
        <v>2025</v>
      </c>
      <c r="J106" s="35">
        <f t="shared" si="25"/>
        <v>1600</v>
      </c>
      <c r="K106" s="38">
        <f t="shared" si="26"/>
        <v>2560000</v>
      </c>
      <c r="L106" s="87">
        <f t="shared" si="27"/>
        <v>275.8845</v>
      </c>
    </row>
    <row r="107" spans="1:12" x14ac:dyDescent="0.25">
      <c r="A107" s="35" t="s">
        <v>307</v>
      </c>
      <c r="B107" s="35">
        <v>1800</v>
      </c>
      <c r="C107" s="36">
        <v>135</v>
      </c>
      <c r="D107" s="42">
        <v>2.3250000000000002</v>
      </c>
      <c r="E107" s="38">
        <f t="shared" si="24"/>
        <v>313.875</v>
      </c>
      <c r="F107" s="266"/>
      <c r="G107" s="211">
        <v>2025</v>
      </c>
      <c r="J107" s="35">
        <f t="shared" si="25"/>
        <v>1800</v>
      </c>
      <c r="K107" s="38">
        <f t="shared" si="26"/>
        <v>3240000</v>
      </c>
      <c r="L107" s="87">
        <f t="shared" si="27"/>
        <v>313.875</v>
      </c>
    </row>
    <row r="108" spans="1:12" x14ac:dyDescent="0.25">
      <c r="A108" s="35" t="s">
        <v>307</v>
      </c>
      <c r="B108" s="35">
        <v>2000</v>
      </c>
      <c r="C108" s="36">
        <v>202.75</v>
      </c>
      <c r="D108" s="42">
        <v>2.3250000000000002</v>
      </c>
      <c r="E108" s="38">
        <f t="shared" si="24"/>
        <v>471.39375000000001</v>
      </c>
      <c r="F108" s="266"/>
      <c r="G108" s="211">
        <v>2025</v>
      </c>
      <c r="J108" s="35">
        <f t="shared" si="25"/>
        <v>2000</v>
      </c>
      <c r="K108" s="38">
        <f t="shared" si="26"/>
        <v>4000000</v>
      </c>
      <c r="L108" s="87">
        <f t="shared" si="27"/>
        <v>471.39375000000001</v>
      </c>
    </row>
    <row r="109" spans="1:12" ht="60" x14ac:dyDescent="0.25">
      <c r="C109" s="305" t="s">
        <v>216</v>
      </c>
      <c r="D109" s="305" t="s">
        <v>217</v>
      </c>
      <c r="E109" s="34"/>
    </row>
    <row r="110" spans="1:12" x14ac:dyDescent="0.25">
      <c r="C110" s="86"/>
      <c r="E110" s="34"/>
    </row>
    <row r="112" spans="1:12" ht="21" x14ac:dyDescent="0.35">
      <c r="A112" s="30" t="s">
        <v>219</v>
      </c>
    </row>
    <row r="113" spans="1:5" x14ac:dyDescent="0.25">
      <c r="A113" s="41"/>
      <c r="B113" s="206" t="s">
        <v>220</v>
      </c>
      <c r="C113" s="206" t="s">
        <v>12</v>
      </c>
      <c r="D113" s="206" t="s">
        <v>204</v>
      </c>
      <c r="E113" s="206" t="s">
        <v>433</v>
      </c>
    </row>
    <row r="114" spans="1:5" x14ac:dyDescent="0.25">
      <c r="A114" s="35" t="s">
        <v>312</v>
      </c>
      <c r="B114" s="42">
        <v>2005</v>
      </c>
      <c r="C114" s="211" t="s">
        <v>221</v>
      </c>
      <c r="D114" s="45"/>
      <c r="E114" s="35">
        <v>2025</v>
      </c>
    </row>
    <row r="115" spans="1:5" x14ac:dyDescent="0.25">
      <c r="A115" s="35" t="s">
        <v>184</v>
      </c>
      <c r="B115" s="42">
        <v>2400</v>
      </c>
      <c r="C115" s="211" t="s">
        <v>221</v>
      </c>
      <c r="D115" s="268" t="s">
        <v>222</v>
      </c>
      <c r="E115" s="35">
        <v>2025</v>
      </c>
    </row>
    <row r="116" spans="1:5" x14ac:dyDescent="0.25">
      <c r="A116" s="35" t="s">
        <v>186</v>
      </c>
      <c r="B116" s="43">
        <f>92.5/0.04</f>
        <v>2312.5</v>
      </c>
      <c r="C116" s="211" t="s">
        <v>221</v>
      </c>
      <c r="D116" s="45"/>
      <c r="E116" s="35">
        <v>2025</v>
      </c>
    </row>
    <row r="117" spans="1:5" x14ac:dyDescent="0.25">
      <c r="A117" s="35" t="s">
        <v>188</v>
      </c>
      <c r="B117" s="42">
        <v>2300</v>
      </c>
      <c r="C117" s="211" t="s">
        <v>221</v>
      </c>
      <c r="D117" s="45" t="s">
        <v>223</v>
      </c>
      <c r="E117" s="35">
        <v>2025</v>
      </c>
    </row>
    <row r="118" spans="1:5" x14ac:dyDescent="0.25">
      <c r="A118" s="35" t="s">
        <v>64</v>
      </c>
      <c r="B118" s="42">
        <v>1800</v>
      </c>
      <c r="C118" s="211" t="s">
        <v>221</v>
      </c>
      <c r="D118" s="268" t="s">
        <v>224</v>
      </c>
      <c r="E118" s="35">
        <v>2025</v>
      </c>
    </row>
    <row r="119" spans="1:5" x14ac:dyDescent="0.25">
      <c r="A119" s="35" t="s">
        <v>65</v>
      </c>
      <c r="B119" s="42">
        <v>2300</v>
      </c>
      <c r="C119" s="211" t="s">
        <v>221</v>
      </c>
      <c r="D119" s="45"/>
      <c r="E119" s="35">
        <v>2025</v>
      </c>
    </row>
    <row r="120" spans="1:5" x14ac:dyDescent="0.25">
      <c r="A120" s="35" t="s">
        <v>192</v>
      </c>
      <c r="B120" s="42">
        <v>2300</v>
      </c>
      <c r="C120" s="211" t="s">
        <v>221</v>
      </c>
      <c r="D120" s="45"/>
      <c r="E120" s="35">
        <v>2025</v>
      </c>
    </row>
    <row r="121" spans="1:5" x14ac:dyDescent="0.25">
      <c r="A121" s="35" t="s">
        <v>54</v>
      </c>
      <c r="B121" s="42">
        <v>1400</v>
      </c>
      <c r="C121" s="211" t="s">
        <v>221</v>
      </c>
      <c r="D121" s="45"/>
      <c r="E121" s="35">
        <v>2025</v>
      </c>
    </row>
    <row r="122" spans="1:5" x14ac:dyDescent="0.25">
      <c r="A122" s="35" t="s">
        <v>55</v>
      </c>
      <c r="B122" s="42">
        <v>1850</v>
      </c>
      <c r="C122" s="211" t="s">
        <v>221</v>
      </c>
      <c r="D122" s="45"/>
      <c r="E122" s="35">
        <v>2025</v>
      </c>
    </row>
    <row r="123" spans="1:5" x14ac:dyDescent="0.25">
      <c r="A123" s="35" t="s">
        <v>225</v>
      </c>
      <c r="B123" s="42">
        <v>1500</v>
      </c>
      <c r="C123" s="211" t="s">
        <v>221</v>
      </c>
      <c r="D123" s="45" t="s">
        <v>226</v>
      </c>
      <c r="E123" s="35">
        <v>2025</v>
      </c>
    </row>
    <row r="124" spans="1:5" x14ac:dyDescent="0.25">
      <c r="A124" s="35" t="s">
        <v>227</v>
      </c>
      <c r="B124" s="42">
        <v>7850</v>
      </c>
      <c r="C124" s="211" t="s">
        <v>221</v>
      </c>
      <c r="D124" s="268" t="s">
        <v>228</v>
      </c>
      <c r="E124" s="35">
        <v>2025</v>
      </c>
    </row>
    <row r="125" spans="1:5" x14ac:dyDescent="0.25">
      <c r="A125" s="35" t="s">
        <v>153</v>
      </c>
      <c r="B125" s="42">
        <v>2500</v>
      </c>
      <c r="C125" s="211" t="s">
        <v>221</v>
      </c>
      <c r="D125" s="45"/>
      <c r="E125" s="35">
        <v>2025</v>
      </c>
    </row>
    <row r="126" spans="1:5" x14ac:dyDescent="0.25">
      <c r="A126" s="35" t="s">
        <v>229</v>
      </c>
      <c r="B126" s="42">
        <v>2000</v>
      </c>
      <c r="C126" s="211" t="s">
        <v>221</v>
      </c>
      <c r="D126" s="268" t="s">
        <v>230</v>
      </c>
      <c r="E126" s="35">
        <v>2025</v>
      </c>
    </row>
    <row r="129" spans="1:5" ht="21" x14ac:dyDescent="0.35">
      <c r="A129" s="30" t="s">
        <v>231</v>
      </c>
    </row>
    <row r="130" spans="1:5" ht="21" x14ac:dyDescent="0.35">
      <c r="A130" s="246"/>
      <c r="B130" s="206" t="s">
        <v>334</v>
      </c>
      <c r="C130" s="206" t="s">
        <v>12</v>
      </c>
      <c r="D130" s="206" t="s">
        <v>204</v>
      </c>
      <c r="E130" s="206" t="s">
        <v>433</v>
      </c>
    </row>
    <row r="131" spans="1:5" x14ac:dyDescent="0.25">
      <c r="A131" s="357" t="s">
        <v>152</v>
      </c>
      <c r="B131" s="104">
        <v>150</v>
      </c>
      <c r="C131" s="211" t="s">
        <v>221</v>
      </c>
      <c r="D131" s="45"/>
      <c r="E131" s="35">
        <v>2025</v>
      </c>
    </row>
    <row r="132" spans="1:5" x14ac:dyDescent="0.25">
      <c r="A132" s="357"/>
      <c r="B132" s="40">
        <f>B131/B124</f>
        <v>1.9108280254777069E-2</v>
      </c>
      <c r="C132" s="211" t="s">
        <v>232</v>
      </c>
      <c r="D132" s="45"/>
      <c r="E132" s="35">
        <v>2025</v>
      </c>
    </row>
    <row r="133" spans="1:5" x14ac:dyDescent="0.25">
      <c r="A133" s="357" t="s">
        <v>153</v>
      </c>
      <c r="B133" s="36">
        <f>B134*B125</f>
        <v>2452.2292993630572</v>
      </c>
      <c r="C133" s="211" t="s">
        <v>221</v>
      </c>
      <c r="D133" s="45"/>
      <c r="E133" s="35">
        <v>2025</v>
      </c>
    </row>
    <row r="134" spans="1:5" x14ac:dyDescent="0.25">
      <c r="A134" s="357"/>
      <c r="B134" s="40">
        <f>1-B132</f>
        <v>0.98089171974522293</v>
      </c>
      <c r="C134" s="211" t="s">
        <v>232</v>
      </c>
      <c r="D134" s="45"/>
      <c r="E134" s="35">
        <v>2025</v>
      </c>
    </row>
    <row r="135" spans="1:5" x14ac:dyDescent="0.25">
      <c r="A135" s="50" t="s">
        <v>132</v>
      </c>
      <c r="B135" s="51">
        <f>B133+B131</f>
        <v>2602.2292993630572</v>
      </c>
      <c r="C135" s="212" t="s">
        <v>221</v>
      </c>
      <c r="D135" s="45"/>
      <c r="E135" s="35">
        <v>2025</v>
      </c>
    </row>
    <row r="136" spans="1:5" x14ac:dyDescent="0.25">
      <c r="A136" s="35"/>
      <c r="B136" s="35"/>
      <c r="C136" s="211"/>
      <c r="D136" s="45"/>
      <c r="E136" s="35"/>
    </row>
    <row r="137" spans="1:5" x14ac:dyDescent="0.25">
      <c r="A137" s="44" t="s">
        <v>233</v>
      </c>
      <c r="B137" s="37">
        <v>0.60899999999999999</v>
      </c>
      <c r="C137" s="211" t="s">
        <v>207</v>
      </c>
      <c r="D137" s="268" t="s">
        <v>234</v>
      </c>
      <c r="E137" s="35">
        <v>2025</v>
      </c>
    </row>
    <row r="138" spans="1:5" x14ac:dyDescent="0.25">
      <c r="A138" s="357" t="s">
        <v>235</v>
      </c>
      <c r="B138" s="38">
        <v>109</v>
      </c>
      <c r="C138" s="211" t="s">
        <v>236</v>
      </c>
      <c r="D138" s="268"/>
      <c r="E138" s="35">
        <v>2025</v>
      </c>
    </row>
    <row r="139" spans="1:5" x14ac:dyDescent="0.25">
      <c r="A139" s="357"/>
      <c r="B139" s="37">
        <f>B138/$B$115</f>
        <v>4.5416666666666668E-2</v>
      </c>
      <c r="C139" s="211" t="s">
        <v>207</v>
      </c>
      <c r="D139" s="268"/>
      <c r="E139" s="35">
        <v>2025</v>
      </c>
    </row>
    <row r="140" spans="1:5" x14ac:dyDescent="0.25">
      <c r="A140" s="357" t="s">
        <v>237</v>
      </c>
      <c r="B140" s="38">
        <v>258</v>
      </c>
      <c r="C140" s="211" t="s">
        <v>236</v>
      </c>
      <c r="D140" s="268"/>
      <c r="E140" s="35">
        <v>2025</v>
      </c>
    </row>
    <row r="141" spans="1:5" x14ac:dyDescent="0.25">
      <c r="A141" s="357"/>
      <c r="B141" s="37">
        <f>B140/$B$115</f>
        <v>0.1075</v>
      </c>
      <c r="C141" s="211" t="s">
        <v>207</v>
      </c>
      <c r="D141" s="268" t="s">
        <v>238</v>
      </c>
      <c r="E141" s="35">
        <v>2025</v>
      </c>
    </row>
    <row r="142" spans="1:5" x14ac:dyDescent="0.25">
      <c r="A142" s="357" t="s">
        <v>239</v>
      </c>
      <c r="B142" s="38">
        <v>326</v>
      </c>
      <c r="C142" s="211" t="s">
        <v>236</v>
      </c>
      <c r="D142" s="268"/>
      <c r="E142" s="35">
        <v>2025</v>
      </c>
    </row>
    <row r="143" spans="1:5" x14ac:dyDescent="0.25">
      <c r="A143" s="357"/>
      <c r="B143" s="37">
        <f>B142/$B$115</f>
        <v>0.13583333333333333</v>
      </c>
      <c r="C143" s="211" t="s">
        <v>207</v>
      </c>
      <c r="D143" s="268" t="s">
        <v>240</v>
      </c>
      <c r="E143" s="35">
        <v>2025</v>
      </c>
    </row>
    <row r="144" spans="1:5" x14ac:dyDescent="0.25">
      <c r="A144" s="357" t="s">
        <v>241</v>
      </c>
      <c r="B144" s="38">
        <v>258</v>
      </c>
      <c r="C144" s="211" t="s">
        <v>236</v>
      </c>
      <c r="D144" s="268"/>
      <c r="E144" s="42">
        <v>2025</v>
      </c>
    </row>
    <row r="145" spans="1:6" x14ac:dyDescent="0.25">
      <c r="A145" s="357"/>
      <c r="B145" s="37">
        <f>B144/$B$115</f>
        <v>0.1075</v>
      </c>
      <c r="C145" s="211" t="s">
        <v>207</v>
      </c>
      <c r="D145" s="268" t="s">
        <v>242</v>
      </c>
      <c r="E145" s="42">
        <v>2025</v>
      </c>
    </row>
    <row r="146" spans="1:6" x14ac:dyDescent="0.25">
      <c r="A146" s="357" t="s">
        <v>243</v>
      </c>
      <c r="B146" s="38">
        <v>531</v>
      </c>
      <c r="C146" s="211" t="s">
        <v>236</v>
      </c>
      <c r="D146" s="268"/>
      <c r="E146" s="42">
        <v>2025</v>
      </c>
    </row>
    <row r="147" spans="1:6" x14ac:dyDescent="0.25">
      <c r="A147" s="357"/>
      <c r="B147" s="37">
        <f>B146/$B$115</f>
        <v>0.22125</v>
      </c>
      <c r="C147" s="211" t="s">
        <v>207</v>
      </c>
      <c r="D147" s="268" t="s">
        <v>230</v>
      </c>
      <c r="E147" s="42">
        <v>2025</v>
      </c>
    </row>
    <row r="148" spans="1:6" x14ac:dyDescent="0.25">
      <c r="A148" s="357" t="s">
        <v>169</v>
      </c>
      <c r="B148" s="38">
        <v>319</v>
      </c>
      <c r="C148" s="211" t="s">
        <v>236</v>
      </c>
      <c r="D148" s="268"/>
      <c r="E148" s="42">
        <v>2025</v>
      </c>
    </row>
    <row r="149" spans="1:6" x14ac:dyDescent="0.25">
      <c r="A149" s="357"/>
      <c r="B149" s="37">
        <v>0.14000000000000001</v>
      </c>
      <c r="C149" s="211" t="s">
        <v>207</v>
      </c>
      <c r="D149" s="45" t="s">
        <v>244</v>
      </c>
      <c r="E149" s="42">
        <v>2025</v>
      </c>
      <c r="F149" s="32"/>
    </row>
    <row r="152" spans="1:6" ht="21" x14ac:dyDescent="0.35">
      <c r="A152" s="30" t="s">
        <v>245</v>
      </c>
    </row>
    <row r="153" spans="1:6" ht="23.25" customHeight="1" x14ac:dyDescent="0.25">
      <c r="A153" s="31" t="s">
        <v>246</v>
      </c>
      <c r="B153" s="206" t="s">
        <v>334</v>
      </c>
      <c r="C153" s="206" t="s">
        <v>12</v>
      </c>
      <c r="D153" s="206" t="s">
        <v>204</v>
      </c>
      <c r="E153" s="206" t="s">
        <v>433</v>
      </c>
    </row>
    <row r="154" spans="1:6" x14ac:dyDescent="0.25">
      <c r="A154" s="35" t="s">
        <v>247</v>
      </c>
      <c r="B154" s="35">
        <v>30.5</v>
      </c>
      <c r="C154" s="211" t="s">
        <v>248</v>
      </c>
      <c r="D154" s="45" t="s">
        <v>249</v>
      </c>
      <c r="E154" s="35">
        <v>2025</v>
      </c>
    </row>
    <row r="155" spans="1:6" x14ac:dyDescent="0.25">
      <c r="A155" s="35" t="s">
        <v>319</v>
      </c>
      <c r="B155" s="35">
        <v>8.9690000000000006E-2</v>
      </c>
      <c r="C155" s="211" t="s">
        <v>250</v>
      </c>
      <c r="D155" s="268" t="s">
        <v>251</v>
      </c>
      <c r="E155" s="35">
        <v>2025</v>
      </c>
    </row>
    <row r="156" spans="1:6" x14ac:dyDescent="0.25">
      <c r="C156" s="15"/>
    </row>
    <row r="157" spans="1:6" x14ac:dyDescent="0.25">
      <c r="A157" s="31" t="s">
        <v>252</v>
      </c>
      <c r="C157" s="15"/>
    </row>
    <row r="158" spans="1:6" x14ac:dyDescent="0.25">
      <c r="A158" s="35" t="s">
        <v>253</v>
      </c>
      <c r="B158" s="35">
        <v>8</v>
      </c>
      <c r="C158" s="211" t="s">
        <v>254</v>
      </c>
      <c r="D158" s="45" t="s">
        <v>255</v>
      </c>
      <c r="E158" s="35">
        <v>2025</v>
      </c>
    </row>
    <row r="159" spans="1:6" x14ac:dyDescent="0.25">
      <c r="C159" s="15"/>
    </row>
    <row r="160" spans="1:6" x14ac:dyDescent="0.25">
      <c r="A160" s="31" t="s">
        <v>256</v>
      </c>
      <c r="C160" s="15"/>
    </row>
    <row r="161" spans="1:5" x14ac:dyDescent="0.25">
      <c r="A161" s="35" t="s">
        <v>247</v>
      </c>
      <c r="B161" s="35">
        <v>8</v>
      </c>
      <c r="C161" s="211" t="s">
        <v>254</v>
      </c>
      <c r="D161" s="45" t="s">
        <v>255</v>
      </c>
      <c r="E161" s="35">
        <v>2025</v>
      </c>
    </row>
    <row r="162" spans="1:5" x14ac:dyDescent="0.25">
      <c r="A162" s="35" t="s">
        <v>247</v>
      </c>
      <c r="B162" s="40">
        <f>B161/B167</f>
        <v>7.3522654167815463E-2</v>
      </c>
      <c r="C162" s="211" t="s">
        <v>257</v>
      </c>
      <c r="D162" s="45"/>
      <c r="E162" s="35">
        <v>2025</v>
      </c>
    </row>
    <row r="163" spans="1:5" x14ac:dyDescent="0.25">
      <c r="A163" s="35" t="s">
        <v>258</v>
      </c>
      <c r="B163" s="35">
        <v>20</v>
      </c>
      <c r="C163" s="211" t="s">
        <v>259</v>
      </c>
      <c r="D163" s="45"/>
      <c r="E163" s="35">
        <v>2025</v>
      </c>
    </row>
    <row r="164" spans="1:5" x14ac:dyDescent="0.25">
      <c r="A164" s="35" t="s">
        <v>260</v>
      </c>
      <c r="B164" s="35">
        <v>0.93</v>
      </c>
      <c r="C164" s="211" t="s">
        <v>87</v>
      </c>
      <c r="D164" s="45"/>
      <c r="E164" s="35">
        <v>2025</v>
      </c>
    </row>
    <row r="165" spans="1:5" x14ac:dyDescent="0.25">
      <c r="A165" s="35" t="s">
        <v>261</v>
      </c>
      <c r="B165" s="35">
        <v>0.65</v>
      </c>
      <c r="C165" s="211"/>
      <c r="D165" s="45" t="s">
        <v>262</v>
      </c>
      <c r="E165" s="35">
        <v>2025</v>
      </c>
    </row>
    <row r="166" spans="1:5" x14ac:dyDescent="0.25">
      <c r="A166" s="35" t="s">
        <v>263</v>
      </c>
      <c r="B166" s="35">
        <f>(60*60)/B163*B165</f>
        <v>117</v>
      </c>
      <c r="C166" s="211"/>
      <c r="D166" s="45"/>
      <c r="E166" s="35">
        <v>2025</v>
      </c>
    </row>
    <row r="167" spans="1:5" x14ac:dyDescent="0.25">
      <c r="A167" s="35" t="s">
        <v>264</v>
      </c>
      <c r="B167" s="35">
        <f>B164*B166</f>
        <v>108.81</v>
      </c>
      <c r="C167" s="211" t="s">
        <v>23</v>
      </c>
      <c r="D167" s="45"/>
      <c r="E167" s="35">
        <v>2025</v>
      </c>
    </row>
    <row r="168" spans="1:5" x14ac:dyDescent="0.25">
      <c r="A168" s="35" t="s">
        <v>265</v>
      </c>
      <c r="B168" s="35">
        <v>0.5</v>
      </c>
      <c r="C168" s="211" t="s">
        <v>266</v>
      </c>
      <c r="D168" s="45" t="s">
        <v>267</v>
      </c>
      <c r="E168" s="35">
        <v>2025</v>
      </c>
    </row>
    <row r="169" spans="1:5" x14ac:dyDescent="0.25">
      <c r="A169" s="35" t="s">
        <v>268</v>
      </c>
      <c r="B169" s="35">
        <v>2.5</v>
      </c>
      <c r="C169" s="211" t="s">
        <v>269</v>
      </c>
      <c r="D169" s="45" t="s">
        <v>270</v>
      </c>
      <c r="E169" s="35">
        <v>2025</v>
      </c>
    </row>
    <row r="170" spans="1:5" x14ac:dyDescent="0.25">
      <c r="A170" s="35" t="s">
        <v>271</v>
      </c>
      <c r="B170" s="35">
        <v>1.4</v>
      </c>
      <c r="C170" s="211" t="s">
        <v>269</v>
      </c>
      <c r="D170" s="45" t="s">
        <v>270</v>
      </c>
      <c r="E170" s="35">
        <v>2025</v>
      </c>
    </row>
    <row r="171" spans="1:5" x14ac:dyDescent="0.25">
      <c r="A171" s="35" t="s">
        <v>272</v>
      </c>
      <c r="B171" s="35">
        <v>1.5</v>
      </c>
      <c r="C171" s="211" t="s">
        <v>269</v>
      </c>
      <c r="D171" s="45" t="s">
        <v>270</v>
      </c>
      <c r="E171" s="35">
        <v>2025</v>
      </c>
    </row>
    <row r="172" spans="1:5" x14ac:dyDescent="0.25">
      <c r="A172" s="35" t="s">
        <v>273</v>
      </c>
      <c r="B172" s="35">
        <v>1</v>
      </c>
      <c r="C172" s="211" t="s">
        <v>269</v>
      </c>
      <c r="D172" s="45" t="s">
        <v>270</v>
      </c>
      <c r="E172" s="35">
        <v>2025</v>
      </c>
    </row>
    <row r="173" spans="1:5" x14ac:dyDescent="0.25">
      <c r="C173" s="15"/>
    </row>
    <row r="174" spans="1:5" x14ac:dyDescent="0.25">
      <c r="A174" s="31" t="s">
        <v>274</v>
      </c>
      <c r="C174" s="15"/>
    </row>
    <row r="175" spans="1:5" x14ac:dyDescent="0.25">
      <c r="A175" s="35" t="s">
        <v>275</v>
      </c>
      <c r="B175" s="35">
        <v>0.5</v>
      </c>
      <c r="C175" s="211" t="s">
        <v>9</v>
      </c>
      <c r="D175" s="45" t="s">
        <v>471</v>
      </c>
      <c r="E175" s="35">
        <v>2026</v>
      </c>
    </row>
    <row r="176" spans="1:5" x14ac:dyDescent="0.25">
      <c r="A176" s="35" t="s">
        <v>276</v>
      </c>
      <c r="B176" s="35">
        <v>6</v>
      </c>
      <c r="C176" s="211" t="s">
        <v>277</v>
      </c>
      <c r="D176" s="45" t="s">
        <v>471</v>
      </c>
      <c r="E176" s="35">
        <v>2026</v>
      </c>
    </row>
    <row r="177" spans="1:5" x14ac:dyDescent="0.25">
      <c r="A177" s="35" t="s">
        <v>278</v>
      </c>
      <c r="B177" s="35">
        <v>3.5000000000000003E-2</v>
      </c>
      <c r="C177" s="211" t="s">
        <v>9</v>
      </c>
      <c r="D177" s="45"/>
      <c r="E177" s="35">
        <v>2026</v>
      </c>
    </row>
    <row r="178" spans="1:5" x14ac:dyDescent="0.25">
      <c r="A178" s="35" t="s">
        <v>247</v>
      </c>
      <c r="B178" s="35">
        <v>8</v>
      </c>
      <c r="C178" s="211" t="s">
        <v>254</v>
      </c>
      <c r="D178" s="281" t="s">
        <v>255</v>
      </c>
      <c r="E178" s="35">
        <v>2026</v>
      </c>
    </row>
    <row r="179" spans="1:5" x14ac:dyDescent="0.25">
      <c r="A179" s="35" t="s">
        <v>279</v>
      </c>
      <c r="B179" s="40">
        <f>1/(B175*B176*60*B165*B177)</f>
        <v>0.24420024420024417</v>
      </c>
      <c r="C179" s="211" t="s">
        <v>280</v>
      </c>
      <c r="D179" s="45"/>
      <c r="E179" s="35">
        <v>2026</v>
      </c>
    </row>
    <row r="180" spans="1:5" x14ac:dyDescent="0.25">
      <c r="C180" s="15"/>
    </row>
    <row r="181" spans="1:5" x14ac:dyDescent="0.25">
      <c r="A181" s="31" t="s">
        <v>281</v>
      </c>
      <c r="C181" s="15"/>
    </row>
    <row r="182" spans="1:5" x14ac:dyDescent="0.25">
      <c r="A182" s="35" t="s">
        <v>247</v>
      </c>
      <c r="B182" s="35">
        <v>16</v>
      </c>
      <c r="C182" s="211" t="s">
        <v>254</v>
      </c>
      <c r="D182" s="45" t="s">
        <v>255</v>
      </c>
      <c r="E182" s="42">
        <v>2025</v>
      </c>
    </row>
    <row r="183" spans="1:5" x14ac:dyDescent="0.25">
      <c r="C183" s="15"/>
    </row>
    <row r="184" spans="1:5" x14ac:dyDescent="0.25">
      <c r="A184" s="31" t="s">
        <v>282</v>
      </c>
      <c r="C184" s="15"/>
    </row>
    <row r="185" spans="1:5" x14ac:dyDescent="0.25">
      <c r="A185" s="35" t="s">
        <v>247</v>
      </c>
      <c r="B185" s="35">
        <v>1</v>
      </c>
      <c r="C185" s="211" t="s">
        <v>254</v>
      </c>
      <c r="D185" s="45" t="s">
        <v>283</v>
      </c>
      <c r="E185" s="42">
        <v>2025</v>
      </c>
    </row>
    <row r="186" spans="1:5" x14ac:dyDescent="0.25">
      <c r="A186" s="35" t="s">
        <v>284</v>
      </c>
      <c r="B186" s="35">
        <v>0.25</v>
      </c>
      <c r="C186" s="211" t="s">
        <v>9</v>
      </c>
      <c r="D186" s="45" t="s">
        <v>285</v>
      </c>
      <c r="E186" s="42">
        <v>2025</v>
      </c>
    </row>
    <row r="187" spans="1:5" x14ac:dyDescent="0.25">
      <c r="A187" s="35" t="s">
        <v>286</v>
      </c>
      <c r="B187" s="35">
        <v>600</v>
      </c>
      <c r="C187" s="211" t="s">
        <v>287</v>
      </c>
      <c r="D187" s="45" t="s">
        <v>283</v>
      </c>
      <c r="E187" s="42">
        <v>2025</v>
      </c>
    </row>
    <row r="188" spans="1:5" x14ac:dyDescent="0.25">
      <c r="C188" s="15"/>
    </row>
    <row r="189" spans="1:5" x14ac:dyDescent="0.25">
      <c r="A189" s="31" t="s">
        <v>288</v>
      </c>
      <c r="C189" s="15"/>
    </row>
    <row r="190" spans="1:5" x14ac:dyDescent="0.25">
      <c r="A190" s="35" t="s">
        <v>289</v>
      </c>
      <c r="B190" s="36">
        <v>15</v>
      </c>
      <c r="C190" s="211" t="s">
        <v>290</v>
      </c>
      <c r="D190" s="45" t="s">
        <v>291</v>
      </c>
      <c r="E190" s="42">
        <v>2025</v>
      </c>
    </row>
    <row r="191" spans="1:5" x14ac:dyDescent="0.25">
      <c r="A191" s="35" t="s">
        <v>247</v>
      </c>
      <c r="B191" s="36">
        <v>8</v>
      </c>
      <c r="C191" s="211" t="s">
        <v>254</v>
      </c>
      <c r="D191" s="45" t="s">
        <v>255</v>
      </c>
      <c r="E191" s="42">
        <v>2025</v>
      </c>
    </row>
    <row r="194" spans="1:6" ht="21" x14ac:dyDescent="0.35">
      <c r="A194" s="217" t="s">
        <v>422</v>
      </c>
    </row>
    <row r="195" spans="1:6" ht="18.75" x14ac:dyDescent="0.3">
      <c r="A195" s="84"/>
      <c r="B195" s="41" t="s">
        <v>334</v>
      </c>
      <c r="C195" s="41" t="s">
        <v>12</v>
      </c>
      <c r="D195" s="41" t="s">
        <v>204</v>
      </c>
      <c r="E195" s="41" t="s">
        <v>433</v>
      </c>
    </row>
    <row r="196" spans="1:6" x14ac:dyDescent="0.25">
      <c r="A196" s="50" t="s">
        <v>308</v>
      </c>
      <c r="B196" s="35"/>
      <c r="C196" s="211"/>
      <c r="D196" s="45"/>
      <c r="E196" s="35"/>
      <c r="F196" s="306" t="s">
        <v>426</v>
      </c>
    </row>
    <row r="197" spans="1:6" x14ac:dyDescent="0.25">
      <c r="A197" s="35" t="s">
        <v>421</v>
      </c>
      <c r="B197" s="105">
        <f>AVERAGE(B208,B215)</f>
        <v>92.5</v>
      </c>
      <c r="C197" s="211"/>
      <c r="D197" s="45"/>
      <c r="E197" s="35"/>
      <c r="F197" s="213"/>
    </row>
    <row r="198" spans="1:6" x14ac:dyDescent="0.25">
      <c r="A198" s="35" t="s">
        <v>364</v>
      </c>
      <c r="B198" s="35">
        <v>0.5</v>
      </c>
      <c r="C198" s="211" t="s">
        <v>365</v>
      </c>
      <c r="D198" s="45" t="s">
        <v>377</v>
      </c>
      <c r="E198" s="42">
        <v>2025</v>
      </c>
      <c r="F198" s="46"/>
    </row>
    <row r="199" spans="1:6" x14ac:dyDescent="0.25">
      <c r="A199" s="35" t="s">
        <v>371</v>
      </c>
      <c r="B199" s="35">
        <v>0.5</v>
      </c>
      <c r="C199" s="211" t="s">
        <v>365</v>
      </c>
      <c r="D199" s="45" t="s">
        <v>377</v>
      </c>
      <c r="E199" s="42">
        <v>2025</v>
      </c>
      <c r="F199" s="46"/>
    </row>
    <row r="200" spans="1:6" x14ac:dyDescent="0.25">
      <c r="A200" s="35" t="s">
        <v>369</v>
      </c>
      <c r="B200" s="35">
        <v>9</v>
      </c>
      <c r="C200" s="211" t="s">
        <v>277</v>
      </c>
      <c r="D200" s="45" t="s">
        <v>370</v>
      </c>
      <c r="E200" s="42">
        <v>2025</v>
      </c>
      <c r="F200" s="46"/>
    </row>
    <row r="201" spans="1:6" x14ac:dyDescent="0.25">
      <c r="A201" s="35" t="s">
        <v>373</v>
      </c>
      <c r="B201" s="35">
        <v>9</v>
      </c>
      <c r="C201" s="211" t="s">
        <v>277</v>
      </c>
      <c r="D201" s="45" t="s">
        <v>370</v>
      </c>
      <c r="E201" s="42">
        <v>2025</v>
      </c>
      <c r="F201" s="46"/>
    </row>
    <row r="202" spans="1:6" x14ac:dyDescent="0.25">
      <c r="A202" s="42" t="s">
        <v>419</v>
      </c>
      <c r="B202" s="104">
        <v>0.2</v>
      </c>
      <c r="C202" s="211" t="s">
        <v>9</v>
      </c>
      <c r="D202" s="45"/>
      <c r="E202" s="35"/>
      <c r="F202" s="46"/>
    </row>
    <row r="203" spans="1:6" x14ac:dyDescent="0.25">
      <c r="A203" s="42" t="s">
        <v>375</v>
      </c>
      <c r="B203" s="104">
        <v>2</v>
      </c>
      <c r="C203" s="211" t="s">
        <v>9</v>
      </c>
      <c r="D203" s="45"/>
      <c r="E203" s="35"/>
      <c r="F203" s="46"/>
    </row>
    <row r="204" spans="1:6" x14ac:dyDescent="0.25">
      <c r="A204" s="35" t="s">
        <v>376</v>
      </c>
      <c r="B204" s="215">
        <v>0.05</v>
      </c>
      <c r="C204" s="211" t="s">
        <v>420</v>
      </c>
      <c r="D204" s="45"/>
      <c r="E204" s="35"/>
      <c r="F204" s="46"/>
    </row>
    <row r="205" spans="1:6" x14ac:dyDescent="0.25">
      <c r="A205" s="35"/>
      <c r="B205" s="35"/>
      <c r="C205" s="211"/>
      <c r="D205" s="45"/>
      <c r="E205" s="35"/>
      <c r="F205" s="46"/>
    </row>
    <row r="206" spans="1:6" x14ac:dyDescent="0.25">
      <c r="A206" s="35"/>
      <c r="B206" s="35"/>
      <c r="C206" s="211"/>
      <c r="D206" s="45"/>
      <c r="E206" s="35"/>
      <c r="F206" s="46"/>
    </row>
    <row r="207" spans="1:6" x14ac:dyDescent="0.25">
      <c r="A207" s="50" t="s">
        <v>309</v>
      </c>
      <c r="B207" s="35"/>
      <c r="C207" s="211"/>
      <c r="D207" s="45"/>
      <c r="E207" s="35"/>
      <c r="F207" s="306" t="s">
        <v>427</v>
      </c>
    </row>
    <row r="208" spans="1:6" x14ac:dyDescent="0.25">
      <c r="A208" s="35" t="s">
        <v>421</v>
      </c>
      <c r="B208" s="105">
        <v>85</v>
      </c>
      <c r="C208" s="211"/>
      <c r="D208" s="45"/>
      <c r="E208" s="35"/>
      <c r="F208" s="213"/>
    </row>
    <row r="209" spans="1:6" x14ac:dyDescent="0.25">
      <c r="A209" s="35" t="s">
        <v>364</v>
      </c>
      <c r="B209" s="35">
        <v>0.04</v>
      </c>
      <c r="C209" s="211" t="s">
        <v>365</v>
      </c>
      <c r="D209" s="45" t="s">
        <v>366</v>
      </c>
      <c r="E209" s="42">
        <v>2025</v>
      </c>
      <c r="F209" s="46"/>
    </row>
    <row r="210" spans="1:6" x14ac:dyDescent="0.25">
      <c r="A210" s="35" t="s">
        <v>371</v>
      </c>
      <c r="B210" s="35">
        <v>0.04</v>
      </c>
      <c r="C210" s="211" t="s">
        <v>365</v>
      </c>
      <c r="D210" s="45" t="s">
        <v>366</v>
      </c>
      <c r="E210" s="42">
        <v>2025</v>
      </c>
      <c r="F210" s="46"/>
    </row>
    <row r="211" spans="1:6" x14ac:dyDescent="0.25">
      <c r="A211" s="35" t="s">
        <v>363</v>
      </c>
      <c r="B211" s="36">
        <v>20</v>
      </c>
      <c r="C211" s="211"/>
      <c r="D211" s="45"/>
      <c r="E211" s="35"/>
      <c r="F211" s="46"/>
    </row>
    <row r="212" spans="1:6" x14ac:dyDescent="0.25">
      <c r="A212" s="35"/>
      <c r="B212" s="35"/>
      <c r="C212" s="211"/>
      <c r="D212" s="45"/>
      <c r="E212" s="35"/>
      <c r="F212" s="46"/>
    </row>
    <row r="213" spans="1:6" x14ac:dyDescent="0.25">
      <c r="A213" s="35"/>
      <c r="B213" s="35"/>
      <c r="C213" s="211"/>
      <c r="D213" s="45"/>
      <c r="E213" s="35"/>
      <c r="F213" s="46"/>
    </row>
    <row r="214" spans="1:6" x14ac:dyDescent="0.25">
      <c r="A214" s="50" t="s">
        <v>310</v>
      </c>
      <c r="B214" s="35"/>
      <c r="C214" s="211"/>
      <c r="D214" s="45"/>
      <c r="E214" s="35"/>
      <c r="F214" s="306" t="s">
        <v>427</v>
      </c>
    </row>
    <row r="215" spans="1:6" x14ac:dyDescent="0.25">
      <c r="A215" s="35" t="s">
        <v>421</v>
      </c>
      <c r="B215" s="105">
        <v>100</v>
      </c>
      <c r="C215" s="211"/>
      <c r="D215" s="45"/>
      <c r="E215" s="35"/>
      <c r="F215" s="46"/>
    </row>
    <row r="216" spans="1:6" x14ac:dyDescent="0.25">
      <c r="A216" s="35" t="s">
        <v>364</v>
      </c>
      <c r="B216" s="35">
        <v>0.06</v>
      </c>
      <c r="C216" s="211" t="s">
        <v>365</v>
      </c>
      <c r="D216" s="45" t="s">
        <v>366</v>
      </c>
      <c r="E216" s="42">
        <v>2025</v>
      </c>
      <c r="F216" s="213"/>
    </row>
    <row r="217" spans="1:6" x14ac:dyDescent="0.25">
      <c r="A217" s="35" t="s">
        <v>371</v>
      </c>
      <c r="B217" s="35">
        <v>0.06</v>
      </c>
      <c r="C217" s="211" t="s">
        <v>365</v>
      </c>
      <c r="D217" s="45" t="s">
        <v>366</v>
      </c>
      <c r="E217" s="42">
        <v>2025</v>
      </c>
      <c r="F217" s="46"/>
    </row>
    <row r="218" spans="1:6" x14ac:dyDescent="0.25">
      <c r="A218" s="35" t="s">
        <v>363</v>
      </c>
      <c r="B218" s="36">
        <v>20</v>
      </c>
      <c r="C218" s="211" t="s">
        <v>43</v>
      </c>
      <c r="D218" s="45"/>
      <c r="E218" s="35"/>
      <c r="F218" s="46"/>
    </row>
    <row r="219" spans="1:6" x14ac:dyDescent="0.25">
      <c r="A219" s="42" t="s">
        <v>382</v>
      </c>
      <c r="B219" s="216">
        <f>B216*'Faktoren Abwasser'!B6*'Faktoren Abwasser'!B161</f>
        <v>1.6703999999999999</v>
      </c>
      <c r="C219" s="211"/>
      <c r="D219" s="45"/>
      <c r="E219" s="35"/>
      <c r="F219" s="46"/>
    </row>
    <row r="220" spans="1:6" x14ac:dyDescent="0.25">
      <c r="A220" s="42" t="s">
        <v>383</v>
      </c>
      <c r="B220" s="216">
        <f>B217*'Faktoren Abwasser'!B6*'Faktoren Abwasser'!B161</f>
        <v>1.6703999999999999</v>
      </c>
      <c r="C220" s="211"/>
      <c r="D220" s="45"/>
      <c r="E220" s="35"/>
      <c r="F220" s="46"/>
    </row>
    <row r="221" spans="1:6" x14ac:dyDescent="0.25">
      <c r="A221" s="46"/>
      <c r="B221" s="85"/>
      <c r="C221" s="211"/>
      <c r="D221" s="45"/>
      <c r="E221" s="35"/>
      <c r="F221" s="46"/>
    </row>
    <row r="222" spans="1:6" x14ac:dyDescent="0.25">
      <c r="A222" s="50" t="s">
        <v>311</v>
      </c>
      <c r="B222" s="35"/>
      <c r="C222" s="211"/>
      <c r="D222" s="45"/>
      <c r="E222" s="35"/>
      <c r="F222" s="306" t="s">
        <v>428</v>
      </c>
    </row>
    <row r="223" spans="1:6" x14ac:dyDescent="0.25">
      <c r="A223" s="35" t="s">
        <v>421</v>
      </c>
      <c r="B223" s="105">
        <f>AVERAGE(B208,B215)</f>
        <v>92.5</v>
      </c>
      <c r="C223" s="211"/>
      <c r="D223" s="45"/>
      <c r="E223" s="35"/>
      <c r="F223" s="46"/>
    </row>
    <row r="224" spans="1:6" x14ac:dyDescent="0.25">
      <c r="A224" s="35" t="s">
        <v>367</v>
      </c>
      <c r="B224" s="35">
        <v>0.25</v>
      </c>
      <c r="C224" s="211" t="s">
        <v>266</v>
      </c>
      <c r="D224" s="45" t="s">
        <v>368</v>
      </c>
      <c r="E224" s="42">
        <v>2025</v>
      </c>
      <c r="F224" s="46"/>
    </row>
    <row r="225" spans="1:9" x14ac:dyDescent="0.25">
      <c r="A225" s="35" t="s">
        <v>374</v>
      </c>
      <c r="B225" s="216">
        <v>0.1</v>
      </c>
      <c r="C225" s="211" t="s">
        <v>9</v>
      </c>
      <c r="D225" s="45"/>
      <c r="E225" s="35"/>
      <c r="F225" s="46"/>
    </row>
    <row r="228" spans="1:9" ht="21" x14ac:dyDescent="0.35">
      <c r="A228" s="30" t="s">
        <v>424</v>
      </c>
    </row>
    <row r="229" spans="1:9" ht="16.5" customHeight="1" x14ac:dyDescent="0.35">
      <c r="A229" s="228"/>
      <c r="B229" s="354" t="s">
        <v>425</v>
      </c>
      <c r="C229" s="355"/>
      <c r="D229" s="356"/>
      <c r="E229" s="240" t="s">
        <v>12</v>
      </c>
      <c r="F229" s="41" t="s">
        <v>433</v>
      </c>
    </row>
    <row r="230" spans="1:9" x14ac:dyDescent="0.25">
      <c r="A230" s="50" t="s">
        <v>464</v>
      </c>
      <c r="B230" s="212" t="s">
        <v>401</v>
      </c>
      <c r="C230" s="212" t="s">
        <v>402</v>
      </c>
      <c r="D230" s="50" t="s">
        <v>430</v>
      </c>
      <c r="E230" s="42"/>
      <c r="F230" s="35"/>
    </row>
    <row r="231" spans="1:9" x14ac:dyDescent="0.25">
      <c r="A231" s="35" t="s">
        <v>404</v>
      </c>
      <c r="B231" s="35"/>
      <c r="C231" s="87"/>
      <c r="D231" s="35"/>
      <c r="E231" s="45"/>
      <c r="F231" s="35"/>
    </row>
    <row r="232" spans="1:9" x14ac:dyDescent="0.25">
      <c r="A232" s="224" t="s">
        <v>134</v>
      </c>
      <c r="B232" s="230" t="s">
        <v>412</v>
      </c>
      <c r="C232" s="87">
        <v>1270</v>
      </c>
      <c r="D232" s="251"/>
      <c r="E232" s="225" t="s">
        <v>133</v>
      </c>
      <c r="F232" s="35"/>
    </row>
    <row r="233" spans="1:9" x14ac:dyDescent="0.25">
      <c r="A233" s="224" t="s">
        <v>405</v>
      </c>
      <c r="B233" s="231" t="s">
        <v>412</v>
      </c>
      <c r="C233" s="232">
        <v>0.5</v>
      </c>
      <c r="D233" s="251"/>
      <c r="E233" s="225" t="s">
        <v>9</v>
      </c>
      <c r="F233" s="35"/>
    </row>
    <row r="234" spans="1:9" x14ac:dyDescent="0.25">
      <c r="A234" s="224" t="s">
        <v>406</v>
      </c>
      <c r="B234" s="233">
        <f>'Faktoren Abwasser'!B141</f>
        <v>0.1075</v>
      </c>
      <c r="C234" s="234">
        <v>0.114695652173913</v>
      </c>
      <c r="D234" s="251"/>
      <c r="E234" s="211" t="s">
        <v>207</v>
      </c>
      <c r="F234" s="35"/>
    </row>
    <row r="235" spans="1:9" x14ac:dyDescent="0.25">
      <c r="A235" s="226"/>
      <c r="B235" s="211"/>
      <c r="C235" s="35"/>
      <c r="D235" s="35"/>
      <c r="E235" s="225"/>
      <c r="F235" s="35"/>
      <c r="H235" s="277"/>
      <c r="I235" s="278"/>
    </row>
    <row r="236" spans="1:9" x14ac:dyDescent="0.25">
      <c r="A236" s="227" t="s">
        <v>137</v>
      </c>
      <c r="B236" s="211"/>
      <c r="C236" s="35"/>
      <c r="D236" s="35"/>
      <c r="E236" s="225"/>
      <c r="F236" s="35"/>
      <c r="I236" s="278"/>
    </row>
    <row r="237" spans="1:9" x14ac:dyDescent="0.25">
      <c r="A237" s="224" t="s">
        <v>134</v>
      </c>
      <c r="B237" s="230" t="s">
        <v>412</v>
      </c>
      <c r="C237" s="235">
        <v>765</v>
      </c>
      <c r="D237" s="251"/>
      <c r="E237" s="225" t="s">
        <v>133</v>
      </c>
      <c r="F237" s="35"/>
      <c r="H237" s="15"/>
      <c r="I237" s="278"/>
    </row>
    <row r="238" spans="1:9" x14ac:dyDescent="0.25">
      <c r="A238" s="224" t="s">
        <v>405</v>
      </c>
      <c r="B238" s="231" t="s">
        <v>412</v>
      </c>
      <c r="C238" s="236">
        <v>0.6</v>
      </c>
      <c r="D238" s="251"/>
      <c r="E238" s="225" t="s">
        <v>9</v>
      </c>
      <c r="F238" s="35"/>
      <c r="H238" s="15"/>
      <c r="I238" s="278"/>
    </row>
    <row r="239" spans="1:9" x14ac:dyDescent="0.25">
      <c r="A239" s="224" t="s">
        <v>406</v>
      </c>
      <c r="B239" s="233">
        <f>'Faktoren Abwasser'!B141</f>
        <v>0.1075</v>
      </c>
      <c r="C239" s="234">
        <v>0.114695652173913</v>
      </c>
      <c r="D239" s="251"/>
      <c r="E239" s="211" t="s">
        <v>207</v>
      </c>
      <c r="F239" s="35"/>
      <c r="H239" s="15"/>
      <c r="I239" s="90"/>
    </row>
    <row r="240" spans="1:9" x14ac:dyDescent="0.25">
      <c r="A240" s="224"/>
      <c r="B240" s="233"/>
      <c r="C240" s="234"/>
      <c r="D240" s="35"/>
      <c r="E240" s="211"/>
      <c r="F240" s="35"/>
      <c r="H240" s="15"/>
      <c r="I240" s="90"/>
    </row>
    <row r="241" spans="1:9" x14ac:dyDescent="0.25">
      <c r="A241" s="50" t="s">
        <v>138</v>
      </c>
      <c r="B241" s="233"/>
      <c r="C241" s="234"/>
      <c r="D241" s="35"/>
      <c r="E241" s="211"/>
      <c r="F241" s="35"/>
      <c r="H241" s="15"/>
      <c r="I241" s="90"/>
    </row>
    <row r="242" spans="1:9" x14ac:dyDescent="0.25">
      <c r="A242" s="224" t="s">
        <v>406</v>
      </c>
      <c r="B242" s="233">
        <f>'Faktoren Abwasser'!B141</f>
        <v>0.1075</v>
      </c>
      <c r="C242" s="234">
        <v>0.114695652173913</v>
      </c>
      <c r="D242" s="251"/>
      <c r="E242" s="211" t="s">
        <v>207</v>
      </c>
      <c r="F242" s="35"/>
      <c r="H242" s="15"/>
      <c r="I242" s="90"/>
    </row>
    <row r="243" spans="1:9" x14ac:dyDescent="0.25">
      <c r="A243" s="35" t="s">
        <v>452</v>
      </c>
      <c r="B243" s="233"/>
      <c r="C243" s="234"/>
      <c r="D243" s="35"/>
      <c r="E243" s="225"/>
      <c r="F243" s="35"/>
      <c r="H243" s="15"/>
      <c r="I243" s="90"/>
    </row>
    <row r="244" spans="1:9" x14ac:dyDescent="0.25">
      <c r="A244" s="224" t="s">
        <v>134</v>
      </c>
      <c r="B244" s="233" t="s">
        <v>412</v>
      </c>
      <c r="C244" s="43">
        <v>325</v>
      </c>
      <c r="D244" s="251"/>
      <c r="E244" s="225" t="s">
        <v>133</v>
      </c>
      <c r="F244" s="35"/>
      <c r="H244" s="15"/>
      <c r="I244" s="90"/>
    </row>
    <row r="245" spans="1:9" x14ac:dyDescent="0.25">
      <c r="A245" s="224" t="s">
        <v>405</v>
      </c>
      <c r="B245" s="42">
        <v>0.25</v>
      </c>
      <c r="C245" s="42">
        <v>0.25</v>
      </c>
      <c r="D245" s="42"/>
      <c r="E245" s="225" t="s">
        <v>9</v>
      </c>
      <c r="F245" s="35"/>
      <c r="H245" s="15"/>
      <c r="I245" s="90"/>
    </row>
    <row r="246" spans="1:9" x14ac:dyDescent="0.25">
      <c r="A246" s="35" t="s">
        <v>454</v>
      </c>
      <c r="B246" s="233"/>
      <c r="C246" s="234"/>
      <c r="D246" s="35"/>
      <c r="E246" s="225"/>
      <c r="F246" s="35"/>
      <c r="H246" s="15"/>
      <c r="I246" s="90"/>
    </row>
    <row r="247" spans="1:9" x14ac:dyDescent="0.25">
      <c r="A247" s="224" t="s">
        <v>134</v>
      </c>
      <c r="B247" s="233" t="s">
        <v>412</v>
      </c>
      <c r="C247" s="43">
        <v>650</v>
      </c>
      <c r="D247" s="251"/>
      <c r="E247" s="225" t="s">
        <v>133</v>
      </c>
      <c r="F247" s="35"/>
      <c r="H247" s="15"/>
      <c r="I247" s="90"/>
    </row>
    <row r="248" spans="1:9" x14ac:dyDescent="0.25">
      <c r="A248" s="224" t="s">
        <v>405</v>
      </c>
      <c r="B248" s="282">
        <v>0.5</v>
      </c>
      <c r="C248" s="283">
        <v>0.5</v>
      </c>
      <c r="D248" s="42"/>
      <c r="E248" s="225" t="s">
        <v>9</v>
      </c>
      <c r="F248" s="35"/>
      <c r="H248" s="15"/>
      <c r="I248" s="90"/>
    </row>
    <row r="249" spans="1:9" x14ac:dyDescent="0.25">
      <c r="A249" s="35" t="s">
        <v>453</v>
      </c>
      <c r="B249" s="233"/>
      <c r="C249" s="234"/>
      <c r="D249" s="35"/>
      <c r="E249" s="225"/>
      <c r="F249" s="35"/>
      <c r="H249" s="15"/>
      <c r="I249" s="90"/>
    </row>
    <row r="250" spans="1:9" x14ac:dyDescent="0.25">
      <c r="A250" s="224" t="s">
        <v>134</v>
      </c>
      <c r="B250" s="233" t="s">
        <v>412</v>
      </c>
      <c r="C250" s="43">
        <v>1300</v>
      </c>
      <c r="D250" s="251"/>
      <c r="E250" s="225" t="s">
        <v>133</v>
      </c>
      <c r="F250" s="35"/>
      <c r="H250" s="15"/>
      <c r="I250" s="90"/>
    </row>
    <row r="251" spans="1:9" x14ac:dyDescent="0.25">
      <c r="A251" s="224" t="s">
        <v>405</v>
      </c>
      <c r="B251" s="284">
        <v>1</v>
      </c>
      <c r="C251" s="43">
        <v>1</v>
      </c>
      <c r="D251" s="42"/>
      <c r="E251" s="225" t="s">
        <v>9</v>
      </c>
      <c r="F251" s="35"/>
      <c r="H251" s="15"/>
      <c r="I251" s="90"/>
    </row>
    <row r="252" spans="1:9" x14ac:dyDescent="0.25">
      <c r="A252" s="50"/>
      <c r="B252" s="229"/>
      <c r="C252" s="42"/>
      <c r="D252" s="35"/>
      <c r="E252" s="225"/>
      <c r="F252" s="35"/>
      <c r="H252" s="15"/>
    </row>
    <row r="253" spans="1:9" x14ac:dyDescent="0.25">
      <c r="A253" s="31"/>
      <c r="B253" s="33"/>
      <c r="C253" s="32"/>
      <c r="D253" s="222"/>
    </row>
    <row r="254" spans="1:9" ht="16.5" customHeight="1" x14ac:dyDescent="0.25">
      <c r="A254" s="52"/>
      <c r="B254" s="351" t="s">
        <v>425</v>
      </c>
      <c r="C254" s="352"/>
      <c r="D254" s="353"/>
      <c r="E254" s="241" t="s">
        <v>12</v>
      </c>
      <c r="F254" s="41" t="s">
        <v>433</v>
      </c>
      <c r="G254" s="307" t="s">
        <v>403</v>
      </c>
    </row>
    <row r="255" spans="1:9" x14ac:dyDescent="0.25">
      <c r="A255" s="50" t="s">
        <v>465</v>
      </c>
      <c r="B255" s="212" t="s">
        <v>401</v>
      </c>
      <c r="C255" s="212" t="s">
        <v>402</v>
      </c>
      <c r="D255" s="50" t="s">
        <v>430</v>
      </c>
      <c r="E255" s="237"/>
      <c r="F255" s="35"/>
    </row>
    <row r="256" spans="1:9" x14ac:dyDescent="0.25">
      <c r="A256" s="50" t="s">
        <v>404</v>
      </c>
      <c r="B256" s="35"/>
      <c r="C256" s="87"/>
      <c r="D256" s="35"/>
      <c r="E256" s="237"/>
      <c r="F256" s="35"/>
    </row>
    <row r="257" spans="1:9" x14ac:dyDescent="0.25">
      <c r="A257" s="224" t="s">
        <v>134</v>
      </c>
      <c r="B257" s="235">
        <v>1700</v>
      </c>
      <c r="C257" s="87">
        <v>3200</v>
      </c>
      <c r="D257" s="251"/>
      <c r="E257" s="225" t="s">
        <v>133</v>
      </c>
      <c r="F257" s="35"/>
    </row>
    <row r="258" spans="1:9" x14ac:dyDescent="0.25">
      <c r="A258" s="224" t="s">
        <v>405</v>
      </c>
      <c r="B258" s="236">
        <v>0.5</v>
      </c>
      <c r="C258" s="232">
        <v>0.85</v>
      </c>
      <c r="D258" s="251"/>
      <c r="E258" s="225" t="s">
        <v>9</v>
      </c>
      <c r="F258" s="35"/>
    </row>
    <row r="259" spans="1:9" x14ac:dyDescent="0.25">
      <c r="A259" s="224" t="s">
        <v>406</v>
      </c>
      <c r="B259" s="234">
        <f>'Faktoren Abwasser'!B141</f>
        <v>0.1075</v>
      </c>
      <c r="C259" s="234">
        <v>0.114695652173913</v>
      </c>
      <c r="D259" s="251"/>
      <c r="E259" s="211" t="s">
        <v>207</v>
      </c>
      <c r="F259" s="35"/>
    </row>
    <row r="260" spans="1:9" x14ac:dyDescent="0.25">
      <c r="A260" s="226"/>
      <c r="B260" s="35"/>
      <c r="C260" s="35"/>
      <c r="D260" s="35"/>
      <c r="E260" s="225"/>
      <c r="F260" s="35"/>
      <c r="H260" s="277"/>
      <c r="I260" s="278"/>
    </row>
    <row r="261" spans="1:9" x14ac:dyDescent="0.25">
      <c r="A261" s="276" t="s">
        <v>137</v>
      </c>
      <c r="B261" s="35"/>
      <c r="C261" s="35"/>
      <c r="D261" s="35"/>
      <c r="E261" s="225"/>
      <c r="F261" s="35"/>
      <c r="I261" s="278"/>
    </row>
    <row r="262" spans="1:9" x14ac:dyDescent="0.25">
      <c r="A262" s="224" t="s">
        <v>134</v>
      </c>
      <c r="B262" s="235">
        <v>600</v>
      </c>
      <c r="C262" s="235">
        <v>950</v>
      </c>
      <c r="D262" s="251"/>
      <c r="E262" s="225" t="s">
        <v>133</v>
      </c>
      <c r="F262" s="35"/>
      <c r="H262" s="15"/>
      <c r="I262" s="278"/>
    </row>
    <row r="263" spans="1:9" x14ac:dyDescent="0.25">
      <c r="A263" s="224" t="s">
        <v>405</v>
      </c>
      <c r="B263" s="236">
        <v>1</v>
      </c>
      <c r="C263" s="236">
        <v>0.6</v>
      </c>
      <c r="D263" s="251"/>
      <c r="E263" s="225" t="s">
        <v>9</v>
      </c>
      <c r="F263" s="35"/>
      <c r="H263" s="15"/>
      <c r="I263" s="278"/>
    </row>
    <row r="264" spans="1:9" x14ac:dyDescent="0.25">
      <c r="A264" s="224" t="s">
        <v>406</v>
      </c>
      <c r="B264" s="234">
        <f>'Faktoren Abwasser'!B141</f>
        <v>0.1075</v>
      </c>
      <c r="C264" s="234">
        <v>0.114695652173913</v>
      </c>
      <c r="D264" s="251"/>
      <c r="E264" s="211" t="s">
        <v>207</v>
      </c>
      <c r="F264" s="35"/>
      <c r="H264" s="15"/>
      <c r="I264" s="90"/>
    </row>
    <row r="265" spans="1:9" x14ac:dyDescent="0.25">
      <c r="A265" s="50"/>
      <c r="B265" s="42"/>
      <c r="C265" s="42"/>
      <c r="D265" s="35"/>
      <c r="E265" s="225"/>
      <c r="F265" s="35"/>
      <c r="H265" s="15"/>
    </row>
    <row r="266" spans="1:9" x14ac:dyDescent="0.25">
      <c r="A266" s="50" t="s">
        <v>138</v>
      </c>
      <c r="B266" s="42"/>
      <c r="C266" s="42"/>
      <c r="D266" s="35"/>
      <c r="E266" s="225"/>
      <c r="F266" s="35"/>
      <c r="H266" s="277"/>
      <c r="I266" s="278"/>
    </row>
    <row r="267" spans="1:9" x14ac:dyDescent="0.25">
      <c r="A267" s="224" t="s">
        <v>406</v>
      </c>
      <c r="B267" s="234">
        <f>'Faktoren Abwasser'!B141</f>
        <v>0.1075</v>
      </c>
      <c r="C267" s="234">
        <v>0.114695652173913</v>
      </c>
      <c r="D267" s="251"/>
      <c r="E267" s="211" t="s">
        <v>207</v>
      </c>
      <c r="F267" s="35"/>
      <c r="H267" s="277"/>
      <c r="I267" s="278"/>
    </row>
    <row r="268" spans="1:9" x14ac:dyDescent="0.25">
      <c r="A268" s="35" t="s">
        <v>452</v>
      </c>
      <c r="B268" s="42"/>
      <c r="C268" s="42"/>
      <c r="D268" s="35"/>
      <c r="E268" s="225"/>
      <c r="F268" s="35"/>
      <c r="H268" s="277"/>
      <c r="I268" s="278"/>
    </row>
    <row r="269" spans="1:9" x14ac:dyDescent="0.25">
      <c r="A269" s="224" t="s">
        <v>134</v>
      </c>
      <c r="B269" s="42">
        <v>215</v>
      </c>
      <c r="C269" s="42">
        <v>400</v>
      </c>
      <c r="D269" s="251"/>
      <c r="E269" s="225" t="s">
        <v>133</v>
      </c>
      <c r="F269" s="35"/>
      <c r="H269" s="277"/>
      <c r="I269" s="278"/>
    </row>
    <row r="270" spans="1:9" x14ac:dyDescent="0.25">
      <c r="A270" s="224" t="s">
        <v>405</v>
      </c>
      <c r="B270" s="42">
        <v>0.25</v>
      </c>
      <c r="C270" s="42">
        <v>0.25</v>
      </c>
      <c r="D270" s="42"/>
      <c r="E270" s="225" t="s">
        <v>9</v>
      </c>
      <c r="F270" s="35"/>
      <c r="H270" s="277"/>
      <c r="I270" s="278"/>
    </row>
    <row r="271" spans="1:9" x14ac:dyDescent="0.25">
      <c r="A271" s="35" t="s">
        <v>454</v>
      </c>
      <c r="B271" s="42"/>
      <c r="C271" s="42"/>
      <c r="D271" s="35"/>
      <c r="E271" s="225"/>
      <c r="F271" s="35"/>
      <c r="H271" s="277"/>
      <c r="I271" s="278"/>
    </row>
    <row r="272" spans="1:9" x14ac:dyDescent="0.25">
      <c r="A272" s="224" t="s">
        <v>134</v>
      </c>
      <c r="B272" s="42">
        <v>420</v>
      </c>
      <c r="C272" s="42">
        <v>800</v>
      </c>
      <c r="D272" s="251"/>
      <c r="E272" s="225" t="s">
        <v>133</v>
      </c>
      <c r="F272" s="35"/>
      <c r="H272" s="277"/>
      <c r="I272" s="278"/>
    </row>
    <row r="273" spans="1:9" x14ac:dyDescent="0.25">
      <c r="A273" s="224" t="s">
        <v>405</v>
      </c>
      <c r="B273" s="42">
        <v>0.5</v>
      </c>
      <c r="C273" s="42">
        <v>0.5</v>
      </c>
      <c r="D273" s="42"/>
      <c r="E273" s="225" t="s">
        <v>9</v>
      </c>
      <c r="F273" s="35"/>
      <c r="H273" s="277"/>
      <c r="I273" s="278"/>
    </row>
    <row r="274" spans="1:9" x14ac:dyDescent="0.25">
      <c r="A274" s="35" t="s">
        <v>453</v>
      </c>
      <c r="B274" s="42"/>
      <c r="C274" s="42"/>
      <c r="D274" s="35"/>
      <c r="E274" s="225"/>
      <c r="F274" s="35"/>
      <c r="H274" s="277"/>
      <c r="I274" s="278"/>
    </row>
    <row r="275" spans="1:9" x14ac:dyDescent="0.25">
      <c r="A275" s="224" t="s">
        <v>134</v>
      </c>
      <c r="B275" s="42">
        <v>840</v>
      </c>
      <c r="C275" s="42">
        <v>1500</v>
      </c>
      <c r="D275" s="251"/>
      <c r="E275" s="225" t="s">
        <v>133</v>
      </c>
      <c r="F275" s="35"/>
      <c r="H275" s="277"/>
      <c r="I275" s="278"/>
    </row>
    <row r="276" spans="1:9" x14ac:dyDescent="0.25">
      <c r="A276" s="224" t="s">
        <v>405</v>
      </c>
      <c r="B276" s="42">
        <v>1</v>
      </c>
      <c r="C276" s="42">
        <v>1</v>
      </c>
      <c r="D276" s="42"/>
      <c r="E276" s="225" t="s">
        <v>9</v>
      </c>
      <c r="F276" s="35"/>
      <c r="H276" s="277"/>
      <c r="I276" s="278"/>
    </row>
    <row r="277" spans="1:9" x14ac:dyDescent="0.25">
      <c r="A277" s="35"/>
      <c r="B277" s="42"/>
      <c r="C277" s="42"/>
      <c r="D277" s="35"/>
      <c r="E277" s="225"/>
      <c r="F277" s="35"/>
      <c r="H277" s="277"/>
      <c r="I277" s="278"/>
    </row>
    <row r="278" spans="1:9" x14ac:dyDescent="0.25">
      <c r="A278" s="89"/>
      <c r="B278" s="92"/>
      <c r="C278" s="92"/>
      <c r="D278" s="223"/>
      <c r="E278" s="91"/>
      <c r="F278" s="32"/>
    </row>
    <row r="279" spans="1:9" ht="16.5" customHeight="1" x14ac:dyDescent="0.25">
      <c r="A279" s="239"/>
      <c r="B279" s="346" t="s">
        <v>425</v>
      </c>
      <c r="C279" s="347"/>
      <c r="D279" s="348"/>
      <c r="E279" s="242" t="s">
        <v>12</v>
      </c>
      <c r="F279" s="41" t="s">
        <v>433</v>
      </c>
      <c r="G279" s="32"/>
    </row>
    <row r="280" spans="1:9" x14ac:dyDescent="0.25">
      <c r="A280" s="50" t="s">
        <v>466</v>
      </c>
      <c r="B280" s="212" t="s">
        <v>401</v>
      </c>
      <c r="C280" s="212" t="s">
        <v>402</v>
      </c>
      <c r="D280" s="50" t="s">
        <v>430</v>
      </c>
      <c r="E280" s="237"/>
      <c r="F280" s="35"/>
    </row>
    <row r="281" spans="1:9" x14ac:dyDescent="0.25">
      <c r="A281" s="35" t="s">
        <v>404</v>
      </c>
      <c r="B281" s="42"/>
      <c r="C281" s="42"/>
      <c r="D281" s="35"/>
      <c r="E281" s="225"/>
      <c r="F281" s="35"/>
    </row>
    <row r="282" spans="1:9" x14ac:dyDescent="0.25">
      <c r="A282" s="224" t="s">
        <v>134</v>
      </c>
      <c r="B282" s="235">
        <v>2000</v>
      </c>
      <c r="C282" s="235">
        <v>5000</v>
      </c>
      <c r="D282" s="251"/>
      <c r="E282" s="225" t="s">
        <v>133</v>
      </c>
      <c r="F282" s="35"/>
    </row>
    <row r="283" spans="1:9" x14ac:dyDescent="0.25">
      <c r="A283" s="224" t="s">
        <v>405</v>
      </c>
      <c r="B283" s="236">
        <v>0.5</v>
      </c>
      <c r="C283" s="216">
        <v>0.85</v>
      </c>
      <c r="D283" s="251"/>
      <c r="E283" s="225" t="s">
        <v>9</v>
      </c>
      <c r="F283" s="35"/>
    </row>
    <row r="284" spans="1:9" x14ac:dyDescent="0.25">
      <c r="A284" s="224" t="s">
        <v>406</v>
      </c>
      <c r="B284" s="234">
        <f>'Faktoren Abwasser'!B141</f>
        <v>0.1075</v>
      </c>
      <c r="C284" s="234">
        <v>0.114695652173913</v>
      </c>
      <c r="D284" s="251"/>
      <c r="E284" s="211" t="s">
        <v>207</v>
      </c>
      <c r="F284" s="35"/>
    </row>
    <row r="285" spans="1:9" x14ac:dyDescent="0.25">
      <c r="A285" s="226"/>
      <c r="B285" s="42"/>
      <c r="C285" s="42"/>
      <c r="D285" s="35"/>
      <c r="E285" s="225"/>
      <c r="F285" s="35"/>
      <c r="H285" s="277"/>
      <c r="I285" s="278"/>
    </row>
    <row r="286" spans="1:9" x14ac:dyDescent="0.25">
      <c r="A286" s="227" t="s">
        <v>137</v>
      </c>
      <c r="B286" s="42"/>
      <c r="C286" s="42"/>
      <c r="D286" s="35"/>
      <c r="E286" s="225"/>
      <c r="F286" s="35"/>
      <c r="I286" s="278"/>
    </row>
    <row r="287" spans="1:9" x14ac:dyDescent="0.25">
      <c r="A287" s="224" t="s">
        <v>134</v>
      </c>
      <c r="B287" s="235">
        <v>800</v>
      </c>
      <c r="C287" s="235">
        <v>1200</v>
      </c>
      <c r="D287" s="251"/>
      <c r="E287" s="225" t="s">
        <v>133</v>
      </c>
      <c r="F287" s="35"/>
      <c r="H287" s="15"/>
      <c r="I287" s="278"/>
    </row>
    <row r="288" spans="1:9" x14ac:dyDescent="0.25">
      <c r="A288" s="224" t="s">
        <v>405</v>
      </c>
      <c r="B288" s="236">
        <v>1</v>
      </c>
      <c r="C288" s="236">
        <v>0.6</v>
      </c>
      <c r="D288" s="251"/>
      <c r="E288" s="225" t="s">
        <v>9</v>
      </c>
      <c r="F288" s="35"/>
      <c r="H288" s="15"/>
      <c r="I288" s="278"/>
    </row>
    <row r="289" spans="1:9" x14ac:dyDescent="0.25">
      <c r="A289" s="224" t="s">
        <v>406</v>
      </c>
      <c r="B289" s="234">
        <f>'Faktoren Abwasser'!B141</f>
        <v>0.1075</v>
      </c>
      <c r="C289" s="234">
        <v>0.114695652173913</v>
      </c>
      <c r="D289" s="251"/>
      <c r="E289" s="211" t="s">
        <v>207</v>
      </c>
      <c r="F289" s="35"/>
      <c r="H289" s="15"/>
      <c r="I289" s="90"/>
    </row>
    <row r="290" spans="1:9" x14ac:dyDescent="0.25">
      <c r="A290" s="50"/>
      <c r="B290" s="42"/>
      <c r="C290" s="42"/>
      <c r="D290" s="35"/>
      <c r="E290" s="225"/>
      <c r="F290" s="35"/>
    </row>
    <row r="291" spans="1:9" x14ac:dyDescent="0.25">
      <c r="A291" s="50" t="s">
        <v>138</v>
      </c>
      <c r="B291" s="234"/>
      <c r="C291" s="234"/>
      <c r="D291" s="35"/>
      <c r="E291" s="211"/>
      <c r="F291" s="35"/>
      <c r="H291" s="15"/>
      <c r="I291" s="90"/>
    </row>
    <row r="292" spans="1:9" x14ac:dyDescent="0.25">
      <c r="A292" s="224" t="s">
        <v>406</v>
      </c>
      <c r="B292" s="234">
        <f>'Faktoren Abwasser'!B141</f>
        <v>0.1075</v>
      </c>
      <c r="C292" s="234">
        <v>0.114695652173913</v>
      </c>
      <c r="D292" s="251"/>
      <c r="E292" s="211" t="s">
        <v>207</v>
      </c>
      <c r="F292" s="35"/>
      <c r="H292" s="15"/>
      <c r="I292" s="90"/>
    </row>
    <row r="293" spans="1:9" x14ac:dyDescent="0.25">
      <c r="A293" s="35" t="s">
        <v>452</v>
      </c>
      <c r="B293" s="234"/>
      <c r="C293" s="234"/>
      <c r="D293" s="35"/>
      <c r="E293" s="225"/>
      <c r="F293" s="35"/>
      <c r="H293" s="15"/>
      <c r="I293" s="90"/>
    </row>
    <row r="294" spans="1:9" x14ac:dyDescent="0.25">
      <c r="A294" s="224" t="s">
        <v>134</v>
      </c>
      <c r="B294" s="43">
        <v>215</v>
      </c>
      <c r="C294" s="43">
        <v>500</v>
      </c>
      <c r="D294" s="251"/>
      <c r="E294" s="225" t="s">
        <v>133</v>
      </c>
      <c r="F294" s="35"/>
      <c r="H294" s="15"/>
      <c r="I294" s="90"/>
    </row>
    <row r="295" spans="1:9" x14ac:dyDescent="0.25">
      <c r="A295" s="224" t="s">
        <v>405</v>
      </c>
      <c r="B295" s="42">
        <v>0.25</v>
      </c>
      <c r="C295" s="42">
        <v>0.25</v>
      </c>
      <c r="D295" s="42"/>
      <c r="E295" s="225" t="s">
        <v>9</v>
      </c>
      <c r="F295" s="35"/>
      <c r="H295" s="15"/>
      <c r="I295" s="90"/>
    </row>
    <row r="296" spans="1:9" x14ac:dyDescent="0.25">
      <c r="A296" s="35" t="s">
        <v>454</v>
      </c>
      <c r="B296" s="43"/>
      <c r="C296" s="234"/>
      <c r="D296" s="35"/>
      <c r="E296" s="225"/>
      <c r="F296" s="35"/>
      <c r="H296" s="15"/>
      <c r="I296" s="90"/>
    </row>
    <row r="297" spans="1:9" x14ac:dyDescent="0.25">
      <c r="A297" s="224" t="s">
        <v>134</v>
      </c>
      <c r="B297" s="43">
        <v>420</v>
      </c>
      <c r="C297" s="43">
        <v>1000</v>
      </c>
      <c r="D297" s="251"/>
      <c r="E297" s="225" t="s">
        <v>133</v>
      </c>
      <c r="F297" s="35"/>
      <c r="H297" s="15"/>
      <c r="I297" s="90"/>
    </row>
    <row r="298" spans="1:9" x14ac:dyDescent="0.25">
      <c r="A298" s="224" t="s">
        <v>405</v>
      </c>
      <c r="B298" s="42">
        <v>0.5</v>
      </c>
      <c r="C298" s="42">
        <v>0.5</v>
      </c>
      <c r="D298" s="42"/>
      <c r="E298" s="225" t="s">
        <v>9</v>
      </c>
      <c r="F298" s="35"/>
      <c r="H298" s="15"/>
      <c r="I298" s="90"/>
    </row>
    <row r="299" spans="1:9" x14ac:dyDescent="0.25">
      <c r="A299" s="35" t="s">
        <v>453</v>
      </c>
      <c r="B299" s="234"/>
      <c r="C299" s="234"/>
      <c r="D299" s="35"/>
      <c r="E299" s="225"/>
      <c r="F299" s="35"/>
      <c r="H299" s="15"/>
      <c r="I299" s="90"/>
    </row>
    <row r="300" spans="1:9" x14ac:dyDescent="0.25">
      <c r="A300" s="224" t="s">
        <v>134</v>
      </c>
      <c r="B300" s="43">
        <v>840</v>
      </c>
      <c r="C300" s="43">
        <v>2000</v>
      </c>
      <c r="D300" s="251"/>
      <c r="E300" s="225" t="s">
        <v>133</v>
      </c>
      <c r="F300" s="35"/>
      <c r="H300" s="15"/>
      <c r="I300" s="90"/>
    </row>
    <row r="301" spans="1:9" x14ac:dyDescent="0.25">
      <c r="A301" s="224" t="s">
        <v>405</v>
      </c>
      <c r="B301" s="42">
        <v>1</v>
      </c>
      <c r="C301" s="42">
        <v>1</v>
      </c>
      <c r="D301" s="42"/>
      <c r="E301" s="225" t="s">
        <v>9</v>
      </c>
      <c r="F301" s="35"/>
    </row>
    <row r="302" spans="1:9" x14ac:dyDescent="0.25">
      <c r="A302" s="279"/>
      <c r="E302" s="15"/>
    </row>
    <row r="303" spans="1:9" x14ac:dyDescent="0.25">
      <c r="B303" s="252"/>
      <c r="C303" s="252"/>
      <c r="E303" s="223"/>
    </row>
    <row r="304" spans="1:9" x14ac:dyDescent="0.25">
      <c r="A304" s="239"/>
      <c r="B304" s="346" t="s">
        <v>425</v>
      </c>
      <c r="C304" s="347"/>
      <c r="D304" s="348"/>
      <c r="E304" s="242" t="s">
        <v>12</v>
      </c>
      <c r="F304" s="41" t="s">
        <v>433</v>
      </c>
    </row>
    <row r="305" spans="1:7" x14ac:dyDescent="0.25">
      <c r="A305" s="50" t="s">
        <v>467</v>
      </c>
      <c r="B305" s="212" t="s">
        <v>401</v>
      </c>
      <c r="C305" s="212" t="s">
        <v>402</v>
      </c>
      <c r="D305" s="50" t="s">
        <v>430</v>
      </c>
      <c r="E305" s="253"/>
      <c r="F305" s="35"/>
    </row>
    <row r="306" spans="1:7" x14ac:dyDescent="0.25">
      <c r="A306" s="35" t="s">
        <v>135</v>
      </c>
      <c r="B306" s="35"/>
      <c r="C306" s="35"/>
      <c r="D306" s="35"/>
      <c r="E306" s="211"/>
      <c r="F306" s="35"/>
    </row>
    <row r="307" spans="1:7" x14ac:dyDescent="0.25">
      <c r="A307" s="224" t="s">
        <v>134</v>
      </c>
      <c r="B307" s="87">
        <v>178</v>
      </c>
      <c r="C307" s="87">
        <v>178</v>
      </c>
      <c r="D307" s="251"/>
      <c r="E307" s="238" t="s">
        <v>133</v>
      </c>
      <c r="F307" s="35"/>
    </row>
    <row r="308" spans="1:7" x14ac:dyDescent="0.25">
      <c r="A308" s="224" t="s">
        <v>293</v>
      </c>
      <c r="B308" s="35">
        <f>0.5*B312+0.5*B141</f>
        <v>0.81874999999999998</v>
      </c>
      <c r="C308" s="35">
        <f>0.5*C312+0.5*0.114695652173913</f>
        <v>0.87484782608695655</v>
      </c>
      <c r="D308" s="251"/>
      <c r="E308" s="211" t="s">
        <v>207</v>
      </c>
      <c r="F308" s="35"/>
      <c r="G308" s="285" t="s">
        <v>408</v>
      </c>
    </row>
    <row r="309" spans="1:7" x14ac:dyDescent="0.25">
      <c r="A309" s="226"/>
      <c r="B309" s="35"/>
      <c r="C309" s="35"/>
      <c r="D309" s="35"/>
      <c r="E309" s="211"/>
      <c r="F309" s="35"/>
    </row>
    <row r="310" spans="1:7" x14ac:dyDescent="0.25">
      <c r="A310" s="35" t="s">
        <v>136</v>
      </c>
      <c r="B310" s="35"/>
      <c r="C310" s="35"/>
      <c r="D310" s="35"/>
      <c r="E310" s="211"/>
      <c r="F310" s="35"/>
    </row>
    <row r="311" spans="1:7" x14ac:dyDescent="0.25">
      <c r="A311" s="224" t="s">
        <v>455</v>
      </c>
      <c r="B311" s="87">
        <v>3</v>
      </c>
      <c r="C311" s="87">
        <v>3</v>
      </c>
      <c r="D311" s="251"/>
      <c r="E311" s="238" t="s">
        <v>133</v>
      </c>
      <c r="F311" s="35"/>
    </row>
    <row r="312" spans="1:7" x14ac:dyDescent="0.25">
      <c r="A312" s="224" t="s">
        <v>293</v>
      </c>
      <c r="B312" s="243">
        <v>1.53</v>
      </c>
      <c r="C312" s="35">
        <v>1.635</v>
      </c>
      <c r="D312" s="251"/>
      <c r="E312" s="211" t="s">
        <v>207</v>
      </c>
      <c r="F312" s="35"/>
      <c r="G312" s="285" t="s">
        <v>411</v>
      </c>
    </row>
    <row r="313" spans="1:7" x14ac:dyDescent="0.25">
      <c r="A313" s="226"/>
      <c r="B313" s="87"/>
      <c r="C313" s="47"/>
      <c r="D313" s="35"/>
      <c r="E313" s="211"/>
      <c r="F313" s="35"/>
      <c r="G313" s="32"/>
    </row>
    <row r="316" spans="1:7" ht="27" customHeight="1" x14ac:dyDescent="0.25"/>
    <row r="318" spans="1:7" ht="25.5" customHeight="1" x14ac:dyDescent="0.25"/>
  </sheetData>
  <mergeCells count="20">
    <mergeCell ref="A144:A145"/>
    <mergeCell ref="A146:A147"/>
    <mergeCell ref="A148:A149"/>
    <mergeCell ref="A131:A132"/>
    <mergeCell ref="A133:A134"/>
    <mergeCell ref="A138:A139"/>
    <mergeCell ref="A140:A141"/>
    <mergeCell ref="A142:A143"/>
    <mergeCell ref="C2:G2"/>
    <mergeCell ref="B304:D304"/>
    <mergeCell ref="D6:F6"/>
    <mergeCell ref="D5:F5"/>
    <mergeCell ref="D25:F25"/>
    <mergeCell ref="D24:F24"/>
    <mergeCell ref="D23:F23"/>
    <mergeCell ref="D22:F22"/>
    <mergeCell ref="D21:F21"/>
    <mergeCell ref="B279:D279"/>
    <mergeCell ref="B254:D254"/>
    <mergeCell ref="B229:D229"/>
  </mergeCells>
  <phoneticPr fontId="14" type="noConversion"/>
  <hyperlinks>
    <hyperlink ref="D115" r:id="rId1" xr:uid="{C78C07C2-CA6C-4CE2-A3A9-895C2D2E9432}"/>
    <hyperlink ref="D118" r:id="rId2" xr:uid="{03435663-CE17-4FC8-ABA7-0ACF93860D5F}"/>
    <hyperlink ref="D124" r:id="rId3" xr:uid="{2992097E-0C68-4D14-94EB-1B417AFBF8A8}"/>
    <hyperlink ref="D126" r:id="rId4" xr:uid="{7F20DFB0-8C05-4CC2-A5DF-A92224C9A573}"/>
    <hyperlink ref="D161" r:id="rId5" xr:uid="{13225620-3006-4A31-8D1D-0B13E9E9E9D0}"/>
    <hyperlink ref="D158" r:id="rId6" xr:uid="{933C8D5A-F598-4235-9099-BCC885DA5C57}"/>
    <hyperlink ref="D155" r:id="rId7" xr:uid="{B7BE2B27-B628-4112-9000-B265813D530D}"/>
    <hyperlink ref="F73" r:id="rId8" xr:uid="{00592DF1-03DE-4889-8C9D-35A08FC053CB}"/>
    <hyperlink ref="D137" r:id="rId9" xr:uid="{AD57640F-5042-445D-AA86-BCD9DBC31B44}"/>
    <hyperlink ref="D147" r:id="rId10" xr:uid="{799C4A74-D0AD-4AB8-B5E5-1A067A49CD92}"/>
    <hyperlink ref="D145" r:id="rId11" xr:uid="{F7B6A422-4B81-4E4C-84B5-EF150735B250}"/>
    <hyperlink ref="D141" r:id="rId12" xr:uid="{86F973ED-F59C-439F-8E79-B79C4864BA2A}"/>
    <hyperlink ref="D143" r:id="rId13" xr:uid="{74908C7B-1E47-4CFB-B7EC-71DA6F121532}"/>
    <hyperlink ref="D178" r:id="rId14" xr:uid="{B204C22C-70CD-4C23-9DB0-133BE1B96AE7}"/>
  </hyperlinks>
  <pageMargins left="0.7" right="0.7" top="0.78740157499999996" bottom="0.78740157499999996" header="0.3" footer="0.3"/>
  <drawing r:id="rId15"/>
  <legacyDrawing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H94"/>
  <sheetViews>
    <sheetView topLeftCell="A6" zoomScale="85" zoomScaleNormal="85" workbookViewId="0">
      <selection activeCell="B38" sqref="B38"/>
    </sheetView>
  </sheetViews>
  <sheetFormatPr baseColWidth="10" defaultColWidth="9.140625" defaultRowHeight="15" x14ac:dyDescent="0.25"/>
  <cols>
    <col min="1" max="1" width="24.28515625" customWidth="1"/>
    <col min="2" max="2" width="27.85546875" customWidth="1"/>
    <col min="3" max="3" width="7.42578125" customWidth="1"/>
    <col min="4" max="4" width="11.28515625" customWidth="1"/>
    <col min="5" max="5" width="21.140625" customWidth="1"/>
    <col min="6" max="6" width="12.42578125" customWidth="1"/>
    <col min="7" max="21" width="9" customWidth="1"/>
  </cols>
  <sheetData>
    <row r="2" spans="1:5" ht="21" x14ac:dyDescent="0.35">
      <c r="A2" s="30" t="s">
        <v>500</v>
      </c>
    </row>
    <row r="3" spans="1:5" x14ac:dyDescent="0.25">
      <c r="A3" s="304" t="s">
        <v>501</v>
      </c>
    </row>
    <row r="4" spans="1:5" x14ac:dyDescent="0.25">
      <c r="A4" s="304" t="s">
        <v>516</v>
      </c>
    </row>
    <row r="5" spans="1:5" x14ac:dyDescent="0.25">
      <c r="B5" s="98"/>
    </row>
    <row r="6" spans="1:5" ht="15.75" x14ac:dyDescent="0.25">
      <c r="A6" s="57" t="s">
        <v>494</v>
      </c>
      <c r="D6" s="32"/>
    </row>
    <row r="7" spans="1:5" x14ac:dyDescent="0.25">
      <c r="A7" s="31" t="s">
        <v>490</v>
      </c>
    </row>
    <row r="8" spans="1:5" ht="18" customHeight="1" x14ac:dyDescent="0.25">
      <c r="A8" t="s">
        <v>496</v>
      </c>
      <c r="B8" s="290"/>
      <c r="C8" t="s">
        <v>497</v>
      </c>
      <c r="E8" s="287" t="s">
        <v>498</v>
      </c>
    </row>
    <row r="9" spans="1:5" x14ac:dyDescent="0.25">
      <c r="A9" t="s">
        <v>116</v>
      </c>
      <c r="B9" s="290"/>
      <c r="C9" t="s">
        <v>9</v>
      </c>
    </row>
    <row r="10" spans="1:5" x14ac:dyDescent="0.25">
      <c r="A10" t="s">
        <v>134</v>
      </c>
      <c r="B10" s="14">
        <f>B8*B9</f>
        <v>0</v>
      </c>
      <c r="C10" t="s">
        <v>497</v>
      </c>
      <c r="E10" s="285" t="s">
        <v>484</v>
      </c>
    </row>
    <row r="11" spans="1:5" x14ac:dyDescent="0.25">
      <c r="E11" s="285"/>
    </row>
    <row r="12" spans="1:5" x14ac:dyDescent="0.25">
      <c r="A12" s="31" t="s">
        <v>499</v>
      </c>
      <c r="E12" s="285"/>
    </row>
    <row r="13" spans="1:5" x14ac:dyDescent="0.25">
      <c r="A13" t="s">
        <v>126</v>
      </c>
      <c r="B13" s="286"/>
      <c r="E13" s="285"/>
    </row>
    <row r="14" spans="1:5" x14ac:dyDescent="0.25">
      <c r="A14" t="s">
        <v>128</v>
      </c>
      <c r="B14" s="291"/>
      <c r="E14" s="285"/>
    </row>
    <row r="15" spans="1:5" x14ac:dyDescent="0.25">
      <c r="A15" t="s">
        <v>131</v>
      </c>
      <c r="B15" s="290"/>
      <c r="C15" t="s">
        <v>9</v>
      </c>
      <c r="E15" s="285"/>
    </row>
    <row r="16" spans="1:5" x14ac:dyDescent="0.25">
      <c r="A16" t="s">
        <v>431</v>
      </c>
      <c r="B16" s="291"/>
      <c r="E16" s="285"/>
    </row>
    <row r="17" spans="1:5" x14ac:dyDescent="0.25">
      <c r="A17" t="s">
        <v>132</v>
      </c>
      <c r="B17" s="14">
        <f>B13*'Hilfsrechnungen&amp;Baustelleninfo'!G49</f>
        <v>0</v>
      </c>
      <c r="E17" s="285" t="s">
        <v>484</v>
      </c>
    </row>
    <row r="18" spans="1:5" x14ac:dyDescent="0.25">
      <c r="E18" s="285"/>
    </row>
    <row r="20" spans="1:5" ht="15.75" x14ac:dyDescent="0.25">
      <c r="A20" s="57" t="s">
        <v>495</v>
      </c>
    </row>
    <row r="21" spans="1:5" ht="18" x14ac:dyDescent="0.35">
      <c r="A21" t="s">
        <v>481</v>
      </c>
    </row>
    <row r="22" spans="1:5" ht="18" x14ac:dyDescent="0.35">
      <c r="A22" t="s">
        <v>482</v>
      </c>
    </row>
    <row r="24" spans="1:5" x14ac:dyDescent="0.25">
      <c r="A24" s="285" t="s">
        <v>480</v>
      </c>
    </row>
    <row r="25" spans="1:5" x14ac:dyDescent="0.25">
      <c r="A25" s="285" t="s">
        <v>479</v>
      </c>
    </row>
    <row r="27" spans="1:5" ht="45" x14ac:dyDescent="0.25">
      <c r="A27" s="54" t="s">
        <v>489</v>
      </c>
      <c r="B27" s="286"/>
      <c r="C27" t="s">
        <v>9</v>
      </c>
    </row>
    <row r="28" spans="1:5" ht="18" x14ac:dyDescent="0.35">
      <c r="A28" t="s">
        <v>483</v>
      </c>
      <c r="B28" s="286"/>
      <c r="C28" t="s">
        <v>488</v>
      </c>
    </row>
    <row r="29" spans="1:5" x14ac:dyDescent="0.25">
      <c r="A29" t="s">
        <v>491</v>
      </c>
      <c r="B29" s="34">
        <f>3.1415*(B28/2000)^2*B27</f>
        <v>0</v>
      </c>
      <c r="C29" t="s">
        <v>485</v>
      </c>
    </row>
    <row r="30" spans="1:5" x14ac:dyDescent="0.25">
      <c r="A30" t="s">
        <v>492</v>
      </c>
      <c r="B30" s="290">
        <f>'Faktoren Abwasser'!B148/'Faktoren Abwasser'!B149</f>
        <v>2278.5714285714284</v>
      </c>
      <c r="C30" t="s">
        <v>486</v>
      </c>
      <c r="D30" s="285" t="s">
        <v>487</v>
      </c>
    </row>
    <row r="31" spans="1:5" x14ac:dyDescent="0.25">
      <c r="A31" t="s">
        <v>493</v>
      </c>
      <c r="B31" s="292">
        <f>B29*B30</f>
        <v>0</v>
      </c>
      <c r="C31" t="s">
        <v>133</v>
      </c>
      <c r="D31" s="285" t="s">
        <v>484</v>
      </c>
    </row>
    <row r="34" spans="1:8" ht="15.75" x14ac:dyDescent="0.25">
      <c r="A34" s="57" t="s">
        <v>504</v>
      </c>
    </row>
    <row r="35" spans="1:8" x14ac:dyDescent="0.25">
      <c r="A35" s="358" t="s">
        <v>477</v>
      </c>
      <c r="B35" s="358"/>
      <c r="C35" s="358"/>
      <c r="D35" s="358"/>
      <c r="E35" s="358"/>
      <c r="F35" s="358"/>
      <c r="G35" s="358"/>
      <c r="H35" s="285" t="s">
        <v>505</v>
      </c>
    </row>
    <row r="36" spans="1:8" ht="48" x14ac:dyDescent="0.25">
      <c r="A36" s="50"/>
      <c r="B36" s="275" t="s">
        <v>456</v>
      </c>
      <c r="C36" s="275" t="s">
        <v>457</v>
      </c>
      <c r="D36" s="275" t="s">
        <v>458</v>
      </c>
      <c r="E36" s="275" t="s">
        <v>459</v>
      </c>
      <c r="F36" s="275" t="s">
        <v>460</v>
      </c>
      <c r="G36" s="275" t="s">
        <v>502</v>
      </c>
    </row>
    <row r="37" spans="1:8" x14ac:dyDescent="0.25">
      <c r="A37" s="359" t="s">
        <v>138</v>
      </c>
      <c r="B37" s="360"/>
      <c r="C37" s="360"/>
      <c r="D37" s="360"/>
      <c r="E37" s="360"/>
      <c r="F37" s="360"/>
      <c r="G37" s="361"/>
    </row>
    <row r="38" spans="1:8" x14ac:dyDescent="0.25">
      <c r="A38" s="226" t="s">
        <v>407</v>
      </c>
      <c r="B38" s="49" cm="1">
        <f t="array" ref="B38">_xlfn.LET(
_xlpm.DN,'Eingaben Hauptkanal'!F$241,
_xlpm.Tiefe,'Eingaben Hauptkanal'!F$242,
_xlpm.Quelle,'Eingaben Hauptkanal'!F$243,
_xlpm.Basis,_xlfn.IFS(
_xlpm.DN="DN 1000",230,
_xlpm.DN="DN 1200",255,
_xlpm.DN="DN 1500",280,
TRUE,0
),
_xlpm.Spalte,_xlfn.IFS(
_xlpm.Quelle="Tilia",2,
_xlpm.Quelle="Berding Beton",3,
_xlpm.Quelle="Eigene Eingabe",4,
TRUE,0
),
IF(
OR(_xlpm.DN="",_xlpm.Tiefe="",_xlpm.Quelle="",_xlpm.Basis=0,_xlpm.Spalte=0),
0,
_xlfn.LET(
_xlpm.HoeheUnterteil,INDEX('Faktoren Abwasser'!$A:$D,_xlpm.Basis+3,_xlpm.Spalte),
_xlpm.HoeheHals,INDEX('Faktoren Abwasser'!$A:$D,_xlpm.Basis+8,_xlpm.Spalte),
IF(
AND(ISNUMBER(_xlpm.HoeheUnterteil),ISNUMBER(_xlpm.HoeheHals)),
MAX(0,_xlpm.Tiefe-_xlpm.HoeheUnterteil-_xlpm.HoeheHals),
NA()
)
)
)
)</f>
        <v>0</v>
      </c>
      <c r="C38" s="49" cm="1">
        <f t="array" ref="C38">_xlfn.LET(
_xlpm.DN,'Eingaben Hauptkanal'!G$241,
_xlpm.Tiefe,'Eingaben Hauptkanal'!G$242,
_xlpm.Quelle,'Eingaben Hauptkanal'!G$243,
_xlpm.Basis,_xlfn.IFS(
_xlpm.DN="DN 1000",230,
_xlpm.DN="DN 1200",255,
_xlpm.DN="DN 1500",280,
TRUE,0
),
_xlpm.Spalte,_xlfn.IFS(
_xlpm.Quelle="Tilia",2,
_xlpm.Quelle="Berding Beton",3,
_xlpm.Quelle="Eigene Eingabe",4,
TRUE,0
),
IF(
OR(_xlpm.DN="",_xlpm.Tiefe="",_xlpm.Quelle="",_xlpm.Basis=0,_xlpm.Spalte=0),
0,
_xlfn.LET(
_xlpm.HoeheUnterteil,INDEX('Faktoren Abwasser'!$A:$D,_xlpm.Basis+3,_xlpm.Spalte),
_xlpm.HoeheHals,INDEX('Faktoren Abwasser'!$A:$D,_xlpm.Basis+8,_xlpm.Spalte),
IF(
AND(ISNUMBER(_xlpm.HoeheUnterteil),ISNUMBER(_xlpm.HoeheHals)),
MAX(0,_xlpm.Tiefe-_xlpm.HoeheUnterteil-_xlpm.HoeheHals),
NA()
)
)
)
)</f>
        <v>0</v>
      </c>
      <c r="D38" s="49" cm="1">
        <f t="array" ref="D38">_xlfn.LET(
_xlpm.DN,'Eingaben Hauptkanal'!H$241,
_xlpm.Tiefe,'Eingaben Hauptkanal'!H$242,
_xlpm.Quelle,'Eingaben Hauptkanal'!H$243,
_xlpm.Basis,_xlfn.IFS(
_xlpm.DN="DN 1000",230,
_xlpm.DN="DN 1200",255,
_xlpm.DN="DN 1500",280,
TRUE,0
),
_xlpm.Spalte,_xlfn.IFS(
_xlpm.Quelle="Tilia",2,
_xlpm.Quelle="Berding Beton",3,
_xlpm.Quelle="Eigene Eingabe",4,
TRUE,0
),
IF(
OR(_xlpm.DN="",_xlpm.Tiefe="",_xlpm.Quelle="",_xlpm.Basis=0,_xlpm.Spalte=0),
0,
_xlfn.LET(
_xlpm.HoeheUnterteil,INDEX('Faktoren Abwasser'!$A:$D,_xlpm.Basis+3,_xlpm.Spalte),
_xlpm.HoeheHals,INDEX('Faktoren Abwasser'!$A:$D,_xlpm.Basis+8,_xlpm.Spalte),
IF(
AND(ISNUMBER(_xlpm.HoeheUnterteil),ISNUMBER(_xlpm.HoeheHals)),
MAX(0,_xlpm.Tiefe-_xlpm.HoeheUnterteil-_xlpm.HoeheHals),
NA()
)
)
)
)</f>
        <v>0</v>
      </c>
      <c r="E38" s="49" cm="1">
        <f t="array" ref="E38">_xlfn.LET(
_xlpm.DN,'Eingaben Hauptkanal'!I$241,
_xlpm.Tiefe,'Eingaben Hauptkanal'!I$242,
_xlpm.Quelle,'Eingaben Hauptkanal'!I$243,
_xlpm.Basis,_xlfn.IFS(
_xlpm.DN="DN 1000",230,
_xlpm.DN="DN 1200",255,
_xlpm.DN="DN 1500",280,
TRUE,0
),
_xlpm.Spalte,_xlfn.IFS(
_xlpm.Quelle="Tilia",2,
_xlpm.Quelle="Berding Beton",3,
_xlpm.Quelle="Eigene Eingabe",4,
TRUE,0
),
IF(
OR(_xlpm.DN="",_xlpm.Tiefe="",_xlpm.Quelle="",_xlpm.Basis=0,_xlpm.Spalte=0),
0,
_xlfn.LET(
_xlpm.HoeheUnterteil,INDEX('Faktoren Abwasser'!$A:$D,_xlpm.Basis+3,_xlpm.Spalte),
_xlpm.HoeheHals,INDEX('Faktoren Abwasser'!$A:$D,_xlpm.Basis+8,_xlpm.Spalte),
IF(
AND(ISNUMBER(_xlpm.HoeheUnterteil),ISNUMBER(_xlpm.HoeheHals)),
MAX(0,_xlpm.Tiefe-_xlpm.HoeheUnterteil-_xlpm.HoeheHals),
NA()
)
)
)
)</f>
        <v>0</v>
      </c>
      <c r="F38" s="49" cm="1">
        <f t="array" ref="F38">_xlfn.LET(
_xlpm.DN,'Eingaben Hauptkanal'!J$241,
_xlpm.Tiefe,'Eingaben Hauptkanal'!J$242,
_xlpm.Quelle,'Eingaben Hauptkanal'!J$243,
_xlpm.Basis,_xlfn.IFS(
_xlpm.DN="DN 1000",230,
_xlpm.DN="DN 1200",255,
_xlpm.DN="DN 1500",280,
TRUE,0
),
_xlpm.Spalte,_xlfn.IFS(
_xlpm.Quelle="Tilia",2,
_xlpm.Quelle="Berding Beton",3,
_xlpm.Quelle="Eigene Eingabe",4,
TRUE,0
),
IF(
OR(_xlpm.DN="",_xlpm.Tiefe="",_xlpm.Quelle="",_xlpm.Basis=0,_xlpm.Spalte=0),
0,
_xlfn.LET(
_xlpm.HoeheUnterteil,INDEX('Faktoren Abwasser'!$A:$D,_xlpm.Basis+3,_xlpm.Spalte),
_xlpm.HoeheHals,INDEX('Faktoren Abwasser'!$A:$D,_xlpm.Basis+8,_xlpm.Spalte),
IF(
AND(ISNUMBER(_xlpm.HoeheUnterteil),ISNUMBER(_xlpm.HoeheHals)),
MAX(0,_xlpm.Tiefe-_xlpm.HoeheUnterteil-_xlpm.HoeheHals),
NA()
)
)
)
)</f>
        <v>0</v>
      </c>
      <c r="G38" s="35" cm="1">
        <f t="array" ref="G38">_xlfn.LET(
_xlpm.DN,'Hilfsrechnungen&amp;Baustelleninfo'!B14,
_xlpm.Tiefe,'Hilfsrechnungen&amp;Baustelleninfo'!B15,
_xlpm.Quelle,'Hilfsrechnungen&amp;Baustelleninfo'!B16,
_xlpm.Basis,_xlfn.IFS(
_xlpm.DN="DN 1000",230,
_xlpm.DN="DN 1200",255,
_xlpm.DN="DN 1500",280,
TRUE,0
),
_xlpm.Spalte,_xlfn.IFS(
_xlpm.Quelle="Tilia",2,
_xlpm.Quelle="Berding Beton",3,
_xlpm.Quelle="Eigene Eingabe",4,
TRUE,0
),
IF(
OR(_xlpm.DN="",_xlpm.Tiefe="",_xlpm.Quelle="",_xlpm.Basis=0,_xlpm.Spalte=0),
0,
_xlfn.LET(
_xlpm.HoeheUnterteil,INDEX('Faktoren Abwasser'!$A:$D,_xlpm.Basis+3,_xlpm.Spalte),
_xlpm.HoeheHals,INDEX('Faktoren Abwasser'!$A:$D,_xlpm.Basis+8,_xlpm.Spalte),
IF(
AND(ISNUMBER(_xlpm.HoeheUnterteil),ISNUMBER(_xlpm.HoeheHals)),
MAX(0,_xlpm.Tiefe-_xlpm.HoeheUnterteil-_xlpm.HoeheHals),
NA()
)
)
)
)</f>
        <v>0</v>
      </c>
    </row>
    <row r="39" spans="1:8" x14ac:dyDescent="0.25">
      <c r="A39" s="226" t="s">
        <v>449</v>
      </c>
      <c r="B39" s="35" cm="1">
        <f t="array" ref="B39">_xlfn.LET(
_xlpm.DN,'Eingaben Hauptkanal'!F$241,
_xlpm.Quelle,'Eingaben Hauptkanal'!F$243,
_xlpm.Basis,_xlfn.IFS(
_xlpm.DN="DN 1000",230,
_xlpm.DN="DN 1200",255,
_xlpm.DN="DN 1500",280,
TRUE,0
),
_xlpm.Spalte,_xlfn.IFS(
_xlpm.Quelle="Tilia",2,
_xlpm.Quelle="Berding Beton",3,
_xlpm.Quelle="Eigene Eingabe",4,
TRUE,0
),
IF(
OR(_xlpm.Basis=0,_xlpm.Spalte=0,B38&lt;=0),
0,
ROUNDDOWN(
B38/INDEX('Faktoren Abwasser'!$A:$D,_xlpm.Basis+21,_xlpm.Spalte),
0
)
)
)</f>
        <v>0</v>
      </c>
      <c r="C39" s="35" cm="1">
        <f t="array" ref="C39">_xlfn.LET(
_xlpm.DN,'Eingaben Hauptkanal'!G$241,
_xlpm.Quelle,'Eingaben Hauptkanal'!G$243,
_xlpm.Basis,_xlfn.IFS(
_xlpm.DN="DN 1000",230,
_xlpm.DN="DN 1200",255,
_xlpm.DN="DN 1500",280,
TRUE,0
),
_xlpm.Spalte,_xlfn.IFS(
_xlpm.Quelle="Tilia",2,
_xlpm.Quelle="Berding Beton",3,
_xlpm.Quelle="Eigene Eingabe",4,
TRUE,0
),
IF(
OR(_xlpm.Basis=0,_xlpm.Spalte=0,C38&lt;=0),
0,
ROUNDDOWN(
C38/INDEX('Faktoren Abwasser'!$A:$D,_xlpm.Basis+21,_xlpm.Spalte),
0
)
)
)</f>
        <v>0</v>
      </c>
      <c r="D39" s="35" cm="1">
        <f t="array" ref="D39">_xlfn.LET(
_xlpm.DN,'Eingaben Hauptkanal'!H$241,
_xlpm.Quelle,'Eingaben Hauptkanal'!H$243,
_xlpm.Basis,_xlfn.IFS(
_xlpm.DN="DN 1000",230,
_xlpm.DN="DN 1200",255,
_xlpm.DN="DN 1500",280,
TRUE,0
),
_xlpm.Spalte,_xlfn.IFS(
_xlpm.Quelle="Tilia",2,
_xlpm.Quelle="Berding Beton",3,
_xlpm.Quelle="Eigene Eingabe",4,
TRUE,0
),
IF(
OR(_xlpm.Basis=0,_xlpm.Spalte=0,D38&lt;=0),
0,
ROUNDDOWN(
D38/INDEX('Faktoren Abwasser'!$A:$D,_xlpm.Basis+21,_xlpm.Spalte),
0
)
)
)</f>
        <v>0</v>
      </c>
      <c r="E39" s="35" cm="1">
        <f t="array" ref="E39">_xlfn.LET(
_xlpm.DN,'Eingaben Hauptkanal'!I$241,
_xlpm.Quelle,'Eingaben Hauptkanal'!I$243,
_xlpm.Basis,_xlfn.IFS(
_xlpm.DN="DN 1000",230,
_xlpm.DN="DN 1200",255,
_xlpm.DN="DN 1500",280,
TRUE,0
),
_xlpm.Spalte,_xlfn.IFS(
_xlpm.Quelle="Tilia",2,
_xlpm.Quelle="Berding Beton",3,
_xlpm.Quelle="Eigene Eingabe",4,
TRUE,0
),
IF(
OR(_xlpm.Basis=0,_xlpm.Spalte=0,E38&lt;=0),
0,
ROUNDDOWN(
E38/INDEX('Faktoren Abwasser'!$A:$D,_xlpm.Basis+21,_xlpm.Spalte),
0
)
)
)</f>
        <v>0</v>
      </c>
      <c r="F39" s="35" cm="1">
        <f t="array" ref="F39">_xlfn.LET(
_xlpm.DN,'Eingaben Hauptkanal'!J$241,
_xlpm.Quelle,'Eingaben Hauptkanal'!J$243,
_xlpm.Basis,_xlfn.IFS(
_xlpm.DN="DN 1000",230,
_xlpm.DN="DN 1200",255,
_xlpm.DN="DN 1500",280,
TRUE,0
),
_xlpm.Spalte,_xlfn.IFS(
_xlpm.Quelle="Tilia",2,
_xlpm.Quelle="Berding Beton",3,
_xlpm.Quelle="Eigene Eingabe",4,
TRUE,0
),
IF(
OR(_xlpm.Basis=0,_xlpm.Spalte=0,F38&lt;=0),
0,
ROUNDDOWN(
F38/INDEX('Faktoren Abwasser'!$A:$D,_xlpm.Basis+21,_xlpm.Spalte),
0
)
)
)</f>
        <v>0</v>
      </c>
      <c r="G39" s="35" cm="1">
        <f t="array" ref="G39">_xlfn.LET(
_xlpm.DN,'Hilfsrechnungen&amp;Baustelleninfo'!B14,
_xlpm.Quelle,'Hilfsrechnungen&amp;Baustelleninfo'!B16,
_xlpm.Basis,_xlfn.IFS(
_xlpm.DN="DN 1000",230,
_xlpm.DN="DN 1200",255,
_xlpm.DN="DN 1500",280,
TRUE,0
),
_xlpm.Spalte,_xlfn.IFS(
_xlpm.Quelle="Tilia",2,
_xlpm.Quelle="Berding Beton",3,
_xlpm.Quelle="Eigene Eingabe",4,
TRUE,0
),
IF(
OR(_xlpm.Basis=0,_xlpm.Spalte=0,G38&lt;=0),
0,
ROUNDDOWN(
G38/INDEX('Faktoren Abwasser'!$A:$D,_xlpm.Basis+21,_xlpm.Spalte),
0
)
)
)</f>
        <v>0</v>
      </c>
    </row>
    <row r="40" spans="1:8" x14ac:dyDescent="0.25">
      <c r="A40" s="226" t="s">
        <v>450</v>
      </c>
      <c r="B40" s="35" cm="1">
        <f t="array" ref="B40">_xlfn.LET(
_xlpm.DN,'Eingaben Hauptkanal'!F$241,
_xlpm.Quelle,'Eingaben Hauptkanal'!F$243,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_xlpm.Resthoehe,B38-B39*_xlpm.Hoehe1,
IF(
OR(_xlpm.Basis=0,_xlpm.Spalte=0,B38&lt;=0,NOT(ISNUMBER(_xlpm.Hoehe05)),_xlpm.Hoehe05&lt;=0),
0,
ROUNDDOWN(_xlpm.Resthoehe/_xlpm.Hoehe05,0)
)
)</f>
        <v>0</v>
      </c>
      <c r="C40" s="35" cm="1">
        <f t="array" ref="C40">_xlfn.LET(
_xlpm.DN,'Eingaben Hauptkanal'!G$241,
_xlpm.Quelle,'Eingaben Hauptkanal'!G$243,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_xlpm.Resthoehe,C38-C39*_xlpm.Hoehe1,
IF(
OR(_xlpm.Basis=0,_xlpm.Spalte=0,C38&lt;=0,NOT(ISNUMBER(_xlpm.Hoehe05)),_xlpm.Hoehe05&lt;=0),
0,
ROUNDDOWN(_xlpm.Resthoehe/_xlpm.Hoehe05,0)
)
)</f>
        <v>0</v>
      </c>
      <c r="D40" s="35" cm="1">
        <f t="array" ref="D40">_xlfn.LET(
_xlpm.DN,'Eingaben Hauptkanal'!H$241,
_xlpm.Quelle,'Eingaben Hauptkanal'!H$243,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_xlpm.Resthoehe,D38-D39*_xlpm.Hoehe1,
IF(
OR(_xlpm.Basis=0,_xlpm.Spalte=0,D38&lt;=0,NOT(ISNUMBER(_xlpm.Hoehe05)),_xlpm.Hoehe05&lt;=0),
0,
ROUNDDOWN(_xlpm.Resthoehe/_xlpm.Hoehe05,0)
)
)</f>
        <v>0</v>
      </c>
      <c r="E40" s="35" cm="1">
        <f t="array" ref="E40">_xlfn.LET(
_xlpm.DN,'Eingaben Hauptkanal'!I$241,
_xlpm.Quelle,'Eingaben Hauptkanal'!I$243,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_xlpm.Resthoehe,E38-E39*_xlpm.Hoehe1,
IF(
OR(_xlpm.Basis=0,_xlpm.Spalte=0,E38&lt;=0,NOT(ISNUMBER(_xlpm.Hoehe05)),_xlpm.Hoehe05&lt;=0),
0,
ROUNDDOWN(_xlpm.Resthoehe/_xlpm.Hoehe05,0)
)
)</f>
        <v>0</v>
      </c>
      <c r="F40" s="35" cm="1">
        <f t="array" ref="F40">_xlfn.LET(
_xlpm.DN,'Eingaben Hauptkanal'!J$241,
_xlpm.Quelle,'Eingaben Hauptkanal'!J$243,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_xlpm.Resthoehe,F38-F39*_xlpm.Hoehe1,
IF(
OR(_xlpm.Basis=0,_xlpm.Spalte=0,F38&lt;=0,NOT(ISNUMBER(_xlpm.Hoehe05)),_xlpm.Hoehe05&lt;=0),
0,
ROUNDDOWN(_xlpm.Resthoehe/_xlpm.Hoehe05,0)
)
)</f>
        <v>0</v>
      </c>
      <c r="G40" s="35" cm="1">
        <f t="array" ref="G40">_xlfn.LET(
_xlpm.DN,'Hilfsrechnungen&amp;Baustelleninfo'!B14,
_xlpm.Quelle,'Hilfsrechnungen&amp;Baustelleninfo'!B16,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_xlpm.Resthoehe,G38-G39*_xlpm.Hoehe1,
IF(
OR(_xlpm.Basis=0,_xlpm.Spalte=0,G38&lt;=0,NOT(ISNUMBER(_xlpm.Hoehe05)),_xlpm.Hoehe05&lt;=0),
0,
ROUNDDOWN(_xlpm.Resthoehe/_xlpm.Hoehe05,0)
)
)</f>
        <v>0</v>
      </c>
    </row>
    <row r="41" spans="1:8" x14ac:dyDescent="0.25">
      <c r="A41" s="226" t="s">
        <v>451</v>
      </c>
      <c r="B41" s="35" cm="1">
        <f t="array" ref="B41">_xlfn.LET(
_xlpm.DN,'Eingaben Hauptkanal'!F$241,
_xlpm.Quelle,'Eingaben Hauptkanal'!F$243,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_xlpm.Hoehe025,INDEX('Faktoren Abwasser'!$A:$D,_xlpm.Basis+15,_xlpm.Spalte),
_xlpm.Resthoehe,B38-B39*_xlpm.Hoehe1-B40*_xlpm.Hoehe05,
IF(
OR(
_xlpm.Basis=0,
_xlpm.Spalte=0,
B38&lt;=0,
NOT(ISNUMBER(_xlpm.Hoehe025)),
_xlpm.Hoehe025&lt;=0
),
0,
ROUNDDOWN(_xlpm.Resthoehe/_xlpm.Hoehe025,0)
)
)</f>
        <v>0</v>
      </c>
      <c r="C41" s="35" cm="1">
        <f t="array" ref="C41">_xlfn.LET(
_xlpm.DN,'Eingaben Hauptkanal'!G$241,
_xlpm.Quelle,'Eingaben Hauptkanal'!G$243,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_xlpm.Hoehe025,INDEX('Faktoren Abwasser'!$A:$D,_xlpm.Basis+15,_xlpm.Spalte),
_xlpm.Resthoehe,C38-C39*_xlpm.Hoehe1-C40*_xlpm.Hoehe05,
IF(
OR(
_xlpm.Basis=0,
_xlpm.Spalte=0,
C38&lt;=0,
NOT(ISNUMBER(_xlpm.Hoehe025)),
_xlpm.Hoehe025&lt;=0
),
0,
ROUNDDOWN(_xlpm.Resthoehe/_xlpm.Hoehe025,0)
)
)</f>
        <v>0</v>
      </c>
      <c r="D41" s="35" cm="1">
        <f t="array" ref="D41">_xlfn.LET(
_xlpm.DN,'Eingaben Hauptkanal'!H$241,
_xlpm.Quelle,'Eingaben Hauptkanal'!H$243,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_xlpm.Hoehe025,INDEX('Faktoren Abwasser'!$A:$D,_xlpm.Basis+15,_xlpm.Spalte),
_xlpm.Resthoehe,D38-D39*_xlpm.Hoehe1-D40*_xlpm.Hoehe05,
IF(
OR(
_xlpm.Basis=0,
_xlpm.Spalte=0,
D38&lt;=0,
NOT(ISNUMBER(_xlpm.Hoehe025)),
_xlpm.Hoehe025&lt;=0
),
0,
ROUNDDOWN(_xlpm.Resthoehe/_xlpm.Hoehe025,0)
)
)</f>
        <v>0</v>
      </c>
      <c r="E41" s="35" cm="1">
        <f t="array" ref="E41">_xlfn.LET(
_xlpm.DN,'Eingaben Hauptkanal'!I$241,
_xlpm.Quelle,'Eingaben Hauptkanal'!I$243,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_xlpm.Hoehe025,INDEX('Faktoren Abwasser'!$A:$D,_xlpm.Basis+15,_xlpm.Spalte),
_xlpm.Resthoehe,E38-E39*_xlpm.Hoehe1-E40*_xlpm.Hoehe05,
IF(
OR(
_xlpm.Basis=0,
_xlpm.Spalte=0,
E38&lt;=0,
NOT(ISNUMBER(_xlpm.Hoehe025)),
_xlpm.Hoehe025&lt;=0
),
0,
ROUNDDOWN(_xlpm.Resthoehe/_xlpm.Hoehe025,0)
)
)</f>
        <v>0</v>
      </c>
      <c r="F41" s="35" cm="1">
        <f t="array" ref="F41">_xlfn.LET(
_xlpm.DN,'Eingaben Hauptkanal'!J$241,
_xlpm.Quelle,'Eingaben Hauptkanal'!J$243,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_xlpm.Hoehe025,INDEX('Faktoren Abwasser'!$A:$D,_xlpm.Basis+15,_xlpm.Spalte),
_xlpm.Resthoehe,F38-F39*_xlpm.Hoehe1-F40*_xlpm.Hoehe05,
IF(
OR(
_xlpm.Basis=0,
_xlpm.Spalte=0,
F38&lt;=0,
NOT(ISNUMBER(_xlpm.Hoehe025)),
_xlpm.Hoehe025&lt;=0
),
0,
ROUNDDOWN(_xlpm.Resthoehe/_xlpm.Hoehe025,0)
)
)</f>
        <v>0</v>
      </c>
      <c r="G41" s="35" cm="1">
        <f t="array" ref="G41">_xlfn.LET(
_xlpm.DN,'Hilfsrechnungen&amp;Baustelleninfo'!B14,
_xlpm.Quelle,'Hilfsrechnungen&amp;Baustelleninfo'!B16,
_xlpm.Basis,_xlfn.IFS(
_xlpm.DN="DN 1000",230,
_xlpm.DN="DN 1200",255,
_xlpm.DN="DN 1500",280,
TRUE,0
),
_xlpm.Spalte,_xlfn.IFS(
_xlpm.Quelle="Tilia",2,
_xlpm.Quelle="Berding Beton",3,
_xlpm.Quelle="Eigene Eingabe",4,
TRUE,0
),
_xlpm.Hoehe1,INDEX('Faktoren Abwasser'!$A:$D,_xlpm.Basis+21,_xlpm.Spalte),
_xlpm.Hoehe05,INDEX('Faktoren Abwasser'!$A:$D,_xlpm.Basis+18,_xlpm.Spalte),
_xlpm.Hoehe025,INDEX('Faktoren Abwasser'!$A:$D,_xlpm.Basis+15,_xlpm.Spalte),
_xlpm.Resthoehe,G38-G39*_xlpm.Hoehe1-G40*_xlpm.Hoehe05,
IF(
OR(
_xlpm.Basis=0,
_xlpm.Spalte=0,
G38&lt;=0,
NOT(ISNUMBER(_xlpm.Hoehe025)),
_xlpm.Hoehe025&lt;=0
),
0,
ROUNDDOWN(_xlpm.Resthoehe/_xlpm.Hoehe025,0)
)
)</f>
        <v>0</v>
      </c>
    </row>
    <row r="42" spans="1:8" x14ac:dyDescent="0.25">
      <c r="A42" s="226" t="s">
        <v>463</v>
      </c>
      <c r="B42" s="35" cm="1">
        <f t="array" ref="B42">_xlfn.LET(
_xlpm.DN,'Eingaben Hauptkanal'!F$241,
_xlpm.Quelle,'Eingaben Hauptkanal'!F$243,
_xlpm.Basis,_xlfn.IFS(
_xlpm.DN="DN 1000",230,
_xlpm.DN="DN 1200",255,
_xlpm.DN="DN 1500",280,
TRUE,0
),
_xlpm.Spalte,_xlfn.IFS(
_xlpm.Quelle="Tilia",2,
_xlpm.Quelle="Berding Beton",3,
_xlpm.Quelle="Eigene Eingabe",4,
TRUE,0
),
_xlpm.Gewicht1,INDEX('Faktoren Abwasser'!$A:$D,_xlpm.Basis+20,_xlpm.Spalte),
_xlpm.Gewicht05,INDEX('Faktoren Abwasser'!$A:$D,_xlpm.Basis+17,_xlpm.Spalte),
_xlpm.Gewicht025,INDEX('Faktoren Abwasser'!$A:$D,_xlpm.Basis+14,_xlpm.Spalte),
IF(
OR(_xlpm.Basis=0,_xlpm.Spalte=0),
0,
B39*_xlpm.Gewicht1+B40*_xlpm.Gewicht05+B41*_xlpm.Gewicht025
)
)</f>
        <v>0</v>
      </c>
      <c r="C42" s="35" cm="1">
        <f t="array" ref="C42">_xlfn.LET(
_xlpm.DN,'Eingaben Hauptkanal'!G$241,
_xlpm.Quelle,'Eingaben Hauptkanal'!G$243,
_xlpm.Basis,_xlfn.IFS(
_xlpm.DN="DN 1000",230,
_xlpm.DN="DN 1200",255,
_xlpm.DN="DN 1500",280,
TRUE,0
),
_xlpm.Spalte,_xlfn.IFS(
_xlpm.Quelle="Tilia",2,
_xlpm.Quelle="Berding Beton",3,
_xlpm.Quelle="Eigene Eingabe",4,
TRUE,0
),
_xlpm.Gewicht1,INDEX('Faktoren Abwasser'!$A:$D,_xlpm.Basis+20,_xlpm.Spalte),
_xlpm.Gewicht05,INDEX('Faktoren Abwasser'!$A:$D,_xlpm.Basis+17,_xlpm.Spalte),
_xlpm.Gewicht025,INDEX('Faktoren Abwasser'!$A:$D,_xlpm.Basis+14,_xlpm.Spalte),
IF(
OR(_xlpm.Basis=0,_xlpm.Spalte=0),
0,
C39*_xlpm.Gewicht1+C40*_xlpm.Gewicht05+C41*_xlpm.Gewicht025
)
)</f>
        <v>0</v>
      </c>
      <c r="D42" s="35" cm="1">
        <f t="array" ref="D42">_xlfn.LET(
_xlpm.DN,'Eingaben Hauptkanal'!H$241,
_xlpm.Quelle,'Eingaben Hauptkanal'!H$243,
_xlpm.Basis,_xlfn.IFS(
_xlpm.DN="DN 1000",230,
_xlpm.DN="DN 1200",255,
_xlpm.DN="DN 1500",280,
TRUE,0
),
_xlpm.Spalte,_xlfn.IFS(
_xlpm.Quelle="Tilia",2,
_xlpm.Quelle="Berding Beton",3,
_xlpm.Quelle="Eigene Eingabe",4,
TRUE,0
),
_xlpm.Gewicht1,INDEX('Faktoren Abwasser'!$A:$D,_xlpm.Basis+20,_xlpm.Spalte),
_xlpm.Gewicht05,INDEX('Faktoren Abwasser'!$A:$D,_xlpm.Basis+17,_xlpm.Spalte),
_xlpm.Gewicht025,INDEX('Faktoren Abwasser'!$A:$D,_xlpm.Basis+14,_xlpm.Spalte),
IF(
OR(_xlpm.Basis=0,_xlpm.Spalte=0),
0,
D39*_xlpm.Gewicht1+D40*_xlpm.Gewicht05+D41*_xlpm.Gewicht025
)
)</f>
        <v>0</v>
      </c>
      <c r="E42" s="35" cm="1">
        <f t="array" ref="E42">_xlfn.LET(
_xlpm.DN,'Eingaben Hauptkanal'!I$241,
_xlpm.Quelle,'Eingaben Hauptkanal'!I$243,
_xlpm.Basis,_xlfn.IFS(
_xlpm.DN="DN 1000",230,
_xlpm.DN="DN 1200",255,
_xlpm.DN="DN 1500",280,
TRUE,0
),
_xlpm.Spalte,_xlfn.IFS(
_xlpm.Quelle="Tilia",2,
_xlpm.Quelle="Berding Beton",3,
_xlpm.Quelle="Eigene Eingabe",4,
TRUE,0
),
_xlpm.Gewicht1,INDEX('Faktoren Abwasser'!$A:$D,_xlpm.Basis+20,_xlpm.Spalte),
_xlpm.Gewicht05,INDEX('Faktoren Abwasser'!$A:$D,_xlpm.Basis+17,_xlpm.Spalte),
_xlpm.Gewicht025,INDEX('Faktoren Abwasser'!$A:$D,_xlpm.Basis+14,_xlpm.Spalte),
IF(
OR(_xlpm.Basis=0,_xlpm.Spalte=0),
0,
E39*_xlpm.Gewicht1+E40*_xlpm.Gewicht05+E41*_xlpm.Gewicht025
)
)</f>
        <v>0</v>
      </c>
      <c r="F42" s="35" cm="1">
        <f t="array" ref="F42">_xlfn.LET(
_xlpm.DN,'Eingaben Hauptkanal'!J$241,
_xlpm.Quelle,'Eingaben Hauptkanal'!J$243,
_xlpm.Basis,_xlfn.IFS(
_xlpm.DN="DN 1000",230,
_xlpm.DN="DN 1200",255,
_xlpm.DN="DN 1500",280,
TRUE,0
),
_xlpm.Spalte,_xlfn.IFS(
_xlpm.Quelle="Tilia",2,
_xlpm.Quelle="Berding Beton",3,
_xlpm.Quelle="Eigene Eingabe",4,
TRUE,0
),
_xlpm.Gewicht1,INDEX('Faktoren Abwasser'!$A:$D,_xlpm.Basis+20,_xlpm.Spalte),
_xlpm.Gewicht05,INDEX('Faktoren Abwasser'!$A:$D,_xlpm.Basis+17,_xlpm.Spalte),
_xlpm.Gewicht025,INDEX('Faktoren Abwasser'!$A:$D,_xlpm.Basis+14,_xlpm.Spalte),
IF(
OR(_xlpm.Basis=0,_xlpm.Spalte=0),
0,
F39*_xlpm.Gewicht1+F40*_xlpm.Gewicht05+F41*_xlpm.Gewicht025
)
)</f>
        <v>0</v>
      </c>
      <c r="G42" s="35" cm="1">
        <f t="array" ref="G42">_xlfn.LET(
_xlpm.DN,'Hilfsrechnungen&amp;Baustelleninfo'!B14,
_xlpm.Quelle,'Hilfsrechnungen&amp;Baustelleninfo'!B16,
_xlpm.Basis,_xlfn.IFS(
_xlpm.DN="DN 1000",230,
_xlpm.DN="DN 1200",255,
_xlpm.DN="DN 1500",280,
TRUE,0
),
_xlpm.Spalte,_xlfn.IFS(
_xlpm.Quelle="Tilia",2,
_xlpm.Quelle="Berding Beton",3,
_xlpm.Quelle="Eigene Eingabe",4,
TRUE,0
),
_xlpm.Gewicht1,INDEX('Faktoren Abwasser'!$A:$D,_xlpm.Basis+20,_xlpm.Spalte),
_xlpm.Gewicht05,INDEX('Faktoren Abwasser'!$A:$D,_xlpm.Basis+17,_xlpm.Spalte),
_xlpm.Gewicht025,INDEX('Faktoren Abwasser'!$A:$D,_xlpm.Basis+14,_xlpm.Spalte),
IF(
OR(_xlpm.Basis=0,_xlpm.Spalte=0),
0,
G39*_xlpm.Gewicht1+G40*_xlpm.Gewicht05+G41*_xlpm.Gewicht025
)
)</f>
        <v>0</v>
      </c>
    </row>
    <row r="43" spans="1:8" x14ac:dyDescent="0.25">
      <c r="A43" s="35"/>
      <c r="B43" s="35"/>
      <c r="C43" s="35"/>
      <c r="D43" s="35"/>
      <c r="E43" s="35"/>
      <c r="F43" s="288"/>
      <c r="G43" s="35"/>
    </row>
    <row r="44" spans="1:8" x14ac:dyDescent="0.25">
      <c r="A44" s="359" t="s">
        <v>136</v>
      </c>
      <c r="B44" s="360"/>
      <c r="C44" s="360"/>
      <c r="D44" s="360"/>
      <c r="E44" s="360"/>
      <c r="F44" s="360"/>
      <c r="G44" s="361"/>
    </row>
    <row r="45" spans="1:8" x14ac:dyDescent="0.25">
      <c r="A45" s="226" t="s">
        <v>409</v>
      </c>
      <c r="B45" s="280">
        <f>'Eingaben Hauptkanal'!F242</f>
        <v>0</v>
      </c>
      <c r="C45" s="280">
        <f>'Eingaben Hauptkanal'!G242</f>
        <v>0</v>
      </c>
      <c r="D45" s="280">
        <f>'Eingaben Hauptkanal'!H242</f>
        <v>0</v>
      </c>
      <c r="E45" s="280">
        <f>'Eingaben Hauptkanal'!I242</f>
        <v>0</v>
      </c>
      <c r="F45" s="289">
        <f>'Eingaben Hauptkanal'!J242</f>
        <v>0</v>
      </c>
      <c r="G45" s="40">
        <f>'Hilfsrechnungen&amp;Baustelleninfo'!B15</f>
        <v>0</v>
      </c>
    </row>
    <row r="46" spans="1:8" x14ac:dyDescent="0.25">
      <c r="A46" s="226" t="s">
        <v>410</v>
      </c>
      <c r="B46" s="35">
        <f t="shared" ref="B46:G46" si="0">ROUNDUP(B45*4,0)</f>
        <v>0</v>
      </c>
      <c r="C46" s="35">
        <f t="shared" si="0"/>
        <v>0</v>
      </c>
      <c r="D46" s="35">
        <f t="shared" si="0"/>
        <v>0</v>
      </c>
      <c r="E46" s="35">
        <f t="shared" si="0"/>
        <v>0</v>
      </c>
      <c r="F46" s="288">
        <f t="shared" si="0"/>
        <v>0</v>
      </c>
      <c r="G46" s="35">
        <f t="shared" si="0"/>
        <v>0</v>
      </c>
    </row>
    <row r="47" spans="1:8" x14ac:dyDescent="0.25">
      <c r="A47" s="226" t="s">
        <v>461</v>
      </c>
      <c r="B47" s="211" cm="1">
        <f t="array" ref="B47">_xlfn.LET(
_xlpm.Quelle,'Eingaben Hauptkanal'!F$243,
_xlpm.Spalte,_xlfn.IFS(
_xlpm.Quelle="Tilia",2,
_xlpm.Quelle="Berding Beton",3,
_xlpm.Quelle="Eigene Eingabe",4,
TRUE,0
),
IF(
OR(_xlpm.Spalte=0,B46=0),
0,
B46*INDEX('Faktoren Abwasser'!$A:$D,311,_xlpm.Spalte)
)
)</f>
        <v>0</v>
      </c>
      <c r="C47" s="211" cm="1">
        <f t="array" ref="C47">_xlfn.LET(
_xlpm.Quelle,'Eingaben Hauptkanal'!G$243,
_xlpm.Spalte,_xlfn.IFS(
_xlpm.Quelle="Tilia",2,
_xlpm.Quelle="Berding Beton",3,
_xlpm.Quelle="Eigene Eingabe",4,
TRUE,0
),
IF(
OR(_xlpm.Spalte=0,C46=0),
0,
C46*INDEX('Faktoren Abwasser'!$A:$D,311,_xlpm.Spalte)
)
)</f>
        <v>0</v>
      </c>
      <c r="D47" s="211" cm="1">
        <f t="array" ref="D47">_xlfn.LET(
_xlpm.Quelle,'Eingaben Hauptkanal'!H$243,
_xlpm.Spalte,_xlfn.IFS(
_xlpm.Quelle="Tilia",2,
_xlpm.Quelle="Berding Beton",3,
_xlpm.Quelle="Eigene Eingabe",4,
TRUE,0
),
IF(
OR(_xlpm.Spalte=0,D46=0),
0,
D46*INDEX('Faktoren Abwasser'!$A:$D,311,_xlpm.Spalte)
)
)</f>
        <v>0</v>
      </c>
      <c r="E47" s="211" cm="1">
        <f t="array" ref="E47">_xlfn.LET(
_xlpm.Quelle,'Eingaben Hauptkanal'!I$243,
_xlpm.Spalte,_xlfn.IFS(
_xlpm.Quelle="Tilia",2,
_xlpm.Quelle="Berding Beton",3,
_xlpm.Quelle="Eigene Eingabe",4,
TRUE,0
),
IF(
OR(_xlpm.Spalte=0,E46=0),
0,
E46*INDEX('Faktoren Abwasser'!$A:$D,311,_xlpm.Spalte)
)
)</f>
        <v>0</v>
      </c>
      <c r="F47" s="211" cm="1">
        <f t="array" ref="F47">_xlfn.LET(
_xlpm.Quelle,'Eingaben Hauptkanal'!J$243,
_xlpm.Spalte,_xlfn.IFS(
_xlpm.Quelle="Tilia",2,
_xlpm.Quelle="Berding Beton",3,
_xlpm.Quelle="Eigene Eingabe",4,
TRUE,0
),
IF(
OR(_xlpm.Spalte=0,F46=0),
0,
F46*INDEX('Faktoren Abwasser'!$A:$D,311,_xlpm.Spalte)
)
)</f>
        <v>0</v>
      </c>
      <c r="G47" s="35" cm="1">
        <f t="array" ref="G47">_xlfn.LET(
_xlpm.Quelle,'Hilfsrechnungen&amp;Baustelleninfo'!B16,
_xlpm.Spalte,_xlfn.IFS(
_xlpm.Quelle="Tilia",2,
_xlpm.Quelle="Berding Beton",3,
_xlpm.Quelle="Eigene Eingabe",4,
TRUE,0
),
IF(
OR(_xlpm.Spalte=0,G46=0),
0,
G46*INDEX('Faktoren Abwasser'!$A:$D,311,_xlpm.Spalte)
)
)</f>
        <v>0</v>
      </c>
    </row>
    <row r="48" spans="1:8" x14ac:dyDescent="0.25">
      <c r="A48" s="35"/>
      <c r="B48" s="35"/>
      <c r="C48" s="35"/>
      <c r="D48" s="35"/>
      <c r="E48" s="35"/>
      <c r="F48" s="35"/>
      <c r="G48" s="35"/>
    </row>
    <row r="49" spans="1:7" x14ac:dyDescent="0.25">
      <c r="A49" s="50" t="s">
        <v>462</v>
      </c>
      <c r="B49" s="35" cm="1">
        <f t="array" ref="B49">_xlfn.LET(
_xlpm.DN,'Eingaben Hauptkanal'!F$241,
_xlpm.Quelle,'Eingaben Hauptkanal'!F$243,
_xlpm.Basis,_xlfn.IFS(
_xlpm.DN="DN 1000",230,
_xlpm.DN="DN 1200",255,
_xlpm.DN="DN 1500",280,
TRUE,0
),
_xlpm.Spalte,_xlfn.IFS(
_xlpm.Quelle="Tilia",2,
_xlpm.Quelle="Berding Beton",3,
_xlpm.Quelle="Eigene Eingabe",4,
TRUE,0
),
IF(
OR(_xlpm.Basis=0,_xlpm.Spalte=0),
0,
INDEX('Faktoren Abwasser'!$A:$D,307,_xlpm.Spalte)
+B47
+INDEX('Faktoren Abwasser'!$A:$D,_xlpm.Basis+7,_xlpm.Spalte)
+B42
+INDEX('Faktoren Abwasser'!$A:$D,_xlpm.Basis+2,_xlpm.Spalte)
)
)</f>
        <v>0</v>
      </c>
      <c r="C49" s="35" cm="1">
        <f t="array" ref="C49">_xlfn.LET(
_xlpm.DN,'Eingaben Hauptkanal'!G$241,
_xlpm.Quelle,'Eingaben Hauptkanal'!G$243,
_xlpm.Basis,_xlfn.IFS(
_xlpm.DN="DN 1000",230,
_xlpm.DN="DN 1200",255,
_xlpm.DN="DN 1500",280,
TRUE,0
),
_xlpm.Spalte,_xlfn.IFS(
_xlpm.Quelle="Tilia",2,
_xlpm.Quelle="Berding Beton",3,
_xlpm.Quelle="Eigene Eingabe",4,
TRUE,0
),
IF(
OR(_xlpm.Basis=0,_xlpm.Spalte=0),
0,
INDEX('Faktoren Abwasser'!$A:$D,307,_xlpm.Spalte)
+C47
+INDEX('Faktoren Abwasser'!$A:$D,_xlpm.Basis+7,_xlpm.Spalte)
+C42
+INDEX('Faktoren Abwasser'!$A:$D,_xlpm.Basis+2,_xlpm.Spalte)
)
)</f>
        <v>0</v>
      </c>
      <c r="D49" s="35" cm="1">
        <f t="array" ref="D49">_xlfn.LET(
_xlpm.DN,'Eingaben Hauptkanal'!H$241,
_xlpm.Quelle,'Eingaben Hauptkanal'!H$243,
_xlpm.Basis,_xlfn.IFS(
_xlpm.DN="DN 1000",230,
_xlpm.DN="DN 1200",255,
_xlpm.DN="DN 1500",280,
TRUE,0
),
_xlpm.Spalte,_xlfn.IFS(
_xlpm.Quelle="Tilia",2,
_xlpm.Quelle="Berding Beton",3,
_xlpm.Quelle="Eigene Eingabe",4,
TRUE,0
),
IF(
OR(_xlpm.Basis=0,_xlpm.Spalte=0),
0,
INDEX('Faktoren Abwasser'!$A:$D,307,_xlpm.Spalte)
+D47
+INDEX('Faktoren Abwasser'!$A:$D,_xlpm.Basis+7,_xlpm.Spalte)
+D42
+INDEX('Faktoren Abwasser'!$A:$D,_xlpm.Basis+2,_xlpm.Spalte)
)
)</f>
        <v>0</v>
      </c>
      <c r="E49" s="35" cm="1">
        <f t="array" ref="E49">_xlfn.LET(
_xlpm.DN,'Eingaben Hauptkanal'!I$241,
_xlpm.Quelle,'Eingaben Hauptkanal'!I$243,
_xlpm.Basis,_xlfn.IFS(
_xlpm.DN="DN 1000",230,
_xlpm.DN="DN 1200",255,
_xlpm.DN="DN 1500",280,
TRUE,0
),
_xlpm.Spalte,_xlfn.IFS(
_xlpm.Quelle="Tilia",2,
_xlpm.Quelle="Berding Beton",3,
_xlpm.Quelle="Eigene Eingabe",4,
TRUE,0
),
IF(
OR(_xlpm.Basis=0,_xlpm.Spalte=0),
0,
INDEX('Faktoren Abwasser'!$A:$D,307,_xlpm.Spalte)
+E47
+INDEX('Faktoren Abwasser'!$A:$D,_xlpm.Basis+7,_xlpm.Spalte)
+E42
+INDEX('Faktoren Abwasser'!$A:$D,_xlpm.Basis+2,_xlpm.Spalte)
)
)</f>
        <v>0</v>
      </c>
      <c r="F49" s="35" cm="1">
        <f t="array" ref="F49">_xlfn.LET(
_xlpm.DN,'Eingaben Hauptkanal'!J$241,
_xlpm.Quelle,'Eingaben Hauptkanal'!J$243,
_xlpm.Basis,_xlfn.IFS(
_xlpm.DN="DN 1000",230,
_xlpm.DN="DN 1200",255,
_xlpm.DN="DN 1500",280,
TRUE,0
),
_xlpm.Spalte,_xlfn.IFS(
_xlpm.Quelle="Tilia",2,
_xlpm.Quelle="Berding Beton",3,
_xlpm.Quelle="Eigene Eingabe",4,
TRUE,0
),
IF(
OR(_xlpm.Basis=0,_xlpm.Spalte=0),
0,
INDEX('Faktoren Abwasser'!$A:$D,307,_xlpm.Spalte)
+F47
+INDEX('Faktoren Abwasser'!$A:$D,_xlpm.Basis+7,_xlpm.Spalte)
+F42
+INDEX('Faktoren Abwasser'!$A:$D,_xlpm.Basis+2,_xlpm.Spalte)
)
)</f>
        <v>0</v>
      </c>
      <c r="G49" s="35" cm="1">
        <f t="array" ref="G49">_xlfn.LET(
_xlpm.DN,'Hilfsrechnungen&amp;Baustelleninfo'!B14,
_xlpm.Quelle,'Hilfsrechnungen&amp;Baustelleninfo'!B16,
_xlpm.Basis,_xlfn.IFS(
_xlpm.DN="DN 1000",230,
_xlpm.DN="DN 1200",255,
_xlpm.DN="DN 1500",280,
TRUE,0
),
_xlpm.Spalte,_xlfn.IFS(
_xlpm.Quelle="Tilia",2,
_xlpm.Quelle="Berding Beton",3,
_xlpm.Quelle="Eigene Eingabe",4,
TRUE,0
),
IF(
OR(_xlpm.Basis=0,_xlpm.Spalte=0),
0,
INDEX('Faktoren Abwasser'!$A:$D,307,_xlpm.Spalte)
+G47
+INDEX('Faktoren Abwasser'!$A:$D,_xlpm.Basis+7,_xlpm.Spalte)
+G42
+INDEX('Faktoren Abwasser'!$A:$D,_xlpm.Basis+2,_xlpm.Spalte)
)
)</f>
        <v>0</v>
      </c>
    </row>
    <row r="82" spans="1:6" x14ac:dyDescent="0.25">
      <c r="B82" s="46"/>
      <c r="C82" s="46"/>
    </row>
    <row r="85" spans="1:6" ht="21" x14ac:dyDescent="0.35">
      <c r="A85" s="30" t="s">
        <v>413</v>
      </c>
    </row>
    <row r="87" spans="1:6" x14ac:dyDescent="0.25">
      <c r="A87" t="s">
        <v>6</v>
      </c>
      <c r="B87" s="93">
        <f>'Eingaben Hauptkanal'!F17</f>
        <v>0</v>
      </c>
      <c r="C87" s="93">
        <f>'Eingaben Hauptkanal'!G17</f>
        <v>0</v>
      </c>
      <c r="D87" s="93">
        <f>'Eingaben Hauptkanal'!H17</f>
        <v>0</v>
      </c>
      <c r="E87" s="93">
        <f>'Eingaben Hauptkanal'!I17</f>
        <v>0</v>
      </c>
      <c r="F87" s="93">
        <f>'Eingaben Hauptkanal'!J17</f>
        <v>0</v>
      </c>
    </row>
    <row r="88" spans="1:6" x14ac:dyDescent="0.25">
      <c r="A88" t="s">
        <v>7</v>
      </c>
      <c r="B88" s="93">
        <f>'Eingaben Hauptkanal'!F18</f>
        <v>0</v>
      </c>
      <c r="C88" s="93">
        <f>'Eingaben Hauptkanal'!G18</f>
        <v>0</v>
      </c>
      <c r="D88" s="93">
        <f>'Eingaben Hauptkanal'!H18</f>
        <v>0</v>
      </c>
      <c r="E88" s="93">
        <f>'Eingaben Hauptkanal'!I18</f>
        <v>0</v>
      </c>
      <c r="F88" s="93">
        <f>'Eingaben Hauptkanal'!J18</f>
        <v>0</v>
      </c>
    </row>
    <row r="89" spans="1:6" x14ac:dyDescent="0.25">
      <c r="A89" t="s">
        <v>8</v>
      </c>
      <c r="B89" s="93">
        <f>'Eingaben Hauptkanal'!F19</f>
        <v>0</v>
      </c>
      <c r="C89" s="93">
        <f>'Eingaben Hauptkanal'!G19</f>
        <v>0</v>
      </c>
      <c r="D89" s="93">
        <f>'Eingaben Hauptkanal'!H19</f>
        <v>0</v>
      </c>
      <c r="E89" s="93">
        <f>'Eingaben Hauptkanal'!I19</f>
        <v>0</v>
      </c>
      <c r="F89" s="93">
        <f>'Eingaben Hauptkanal'!J19</f>
        <v>0</v>
      </c>
    </row>
    <row r="91" spans="1:6" x14ac:dyDescent="0.25">
      <c r="A91" t="s">
        <v>303</v>
      </c>
      <c r="B91" s="94">
        <f>IF(B89=0,0,IF(B88="Pionierstollen",0.9814*B89+350.55,0))</f>
        <v>0</v>
      </c>
      <c r="C91" s="94">
        <f>IF(C89=0,0,IF(C88="Pionierstollen",0.9814*C89+350.55,0))</f>
        <v>0</v>
      </c>
      <c r="D91" s="94">
        <f>IF(D89=0,0,IF(D88="Pionierstollen",0.9814*D89+350.55,0))</f>
        <v>0</v>
      </c>
      <c r="E91" s="94">
        <f>IF(E89=0,0,IF(E88="Pionierstollen",0.9814*E89+350.55,0))</f>
        <v>0</v>
      </c>
      <c r="F91" s="94">
        <f>IF(F89=0,0,IF(F88="Pionierstollen",0.9814*F89+350.55,0))</f>
        <v>0</v>
      </c>
    </row>
    <row r="92" spans="1:6" x14ac:dyDescent="0.25">
      <c r="A92" t="s">
        <v>304</v>
      </c>
      <c r="B92" s="94">
        <f>IF(B89=0,0,IF(B88="Spritzbetonstollen",0.5724*B89+322.48,0))</f>
        <v>0</v>
      </c>
      <c r="C92" s="94">
        <f>IF(C89=0,0,IF(C88="Spritzbetonstollen",0.5724*C89+322.48,0))</f>
        <v>0</v>
      </c>
      <c r="D92" s="94">
        <f>IF(D89=0,0,IF(D88="Spritzbetonstollen",0.5724*D89+322.48,0))</f>
        <v>0</v>
      </c>
      <c r="E92" s="94">
        <f>IF(E89=0,0,IF(E88="Spritzbetonstollen",0.5724*E89+322.48,0))</f>
        <v>0</v>
      </c>
      <c r="F92" s="94">
        <f>IF(F89=0,0,IF(F88="Spritzbetonstollen",0.5724*F89+322.48,0))</f>
        <v>0</v>
      </c>
    </row>
    <row r="93" spans="1:6" x14ac:dyDescent="0.25">
      <c r="A93" t="s">
        <v>302</v>
      </c>
      <c r="B93" s="95">
        <f>IF(B89=0,0,IF(B88="Kölner Stollen im Stahlverzug",-0.5543*B89+2576,0))</f>
        <v>0</v>
      </c>
      <c r="C93" s="95">
        <f>IF(C89=0,0,IF(C88="Kölner Stollen im Stahlverzug",-0.5543*C89+2576,0))</f>
        <v>0</v>
      </c>
      <c r="D93" s="95">
        <f>IF(D89=0,0,IF(D88="Kölner Stollen im Stahlverzug",-0.5543*D89+2576,0))</f>
        <v>0</v>
      </c>
      <c r="E93" s="95">
        <f>IF(E89=0,0,IF(E88="Kölner Stollen im Stahlverzug",-0.5543*E89+2576,0))</f>
        <v>0</v>
      </c>
      <c r="F93" s="95">
        <f>IF(F89=0,0,IF(F88="Kölner Stollen im Stahlverzug",-0.5543*F89+2576,0))</f>
        <v>0</v>
      </c>
    </row>
    <row r="94" spans="1:6" x14ac:dyDescent="0.25">
      <c r="A94" s="31" t="s">
        <v>414</v>
      </c>
      <c r="B94" s="96">
        <f>SUM(B91:B93)</f>
        <v>0</v>
      </c>
      <c r="C94" s="96">
        <f>SUM(C91:C93)</f>
        <v>0</v>
      </c>
      <c r="D94" s="96">
        <f>SUM(D91:D93)</f>
        <v>0</v>
      </c>
      <c r="E94" s="96">
        <f>SUM(E91:E93)</f>
        <v>0</v>
      </c>
      <c r="F94" s="96">
        <f>SUM(F91:F93)</f>
        <v>0</v>
      </c>
    </row>
  </sheetData>
  <mergeCells count="3">
    <mergeCell ref="A35:G35"/>
    <mergeCell ref="A37:G37"/>
    <mergeCell ref="A44:G44"/>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B3FC1B2-92A9-494E-A312-8B1C88B8A109}">
          <x14:formula1>
            <xm:f>'Dropdown Menüs'!$I$6:$I$8</xm:f>
          </x14:formula1>
          <xm:sqref>B14</xm:sqref>
        </x14:dataValidation>
        <x14:dataValidation type="list" allowBlank="1" showInputMessage="1" showErrorMessage="1" xr:uid="{289855A1-7796-474F-844D-4F443DFC6C3C}">
          <x14:formula1>
            <xm:f>'Dropdown Menüs'!$K$6:$K$8</xm:f>
          </x14:formula1>
          <xm:sqref>B16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0C6F2-941E-45BF-8DD8-A432118910E7}">
  <sheetPr>
    <tabColor rgb="FF0070C0"/>
  </sheetPr>
  <dimension ref="B1:I20"/>
  <sheetViews>
    <sheetView zoomScale="85" zoomScaleNormal="85" workbookViewId="0">
      <selection activeCell="H20" sqref="H20"/>
    </sheetView>
  </sheetViews>
  <sheetFormatPr baseColWidth="10" defaultRowHeight="15" x14ac:dyDescent="0.25"/>
  <cols>
    <col min="2" max="2" width="31.7109375" customWidth="1"/>
    <col min="3" max="7" width="21.7109375" customWidth="1"/>
    <col min="8" max="8" width="15.42578125" customWidth="1"/>
  </cols>
  <sheetData>
    <row r="1" spans="2:9" ht="15.75" x14ac:dyDescent="0.25">
      <c r="B1" s="57" t="s">
        <v>328</v>
      </c>
    </row>
    <row r="2" spans="2:9" x14ac:dyDescent="0.25">
      <c r="B2" s="52"/>
      <c r="C2" s="41" t="str">
        <f>'Eingaben Hauptkanal'!F10</f>
        <v>Abschnitt/Maßnahme 1: Hauptkanal DN300</v>
      </c>
      <c r="D2" s="41" t="str">
        <f>'Eingaben Hauptkanal'!G10</f>
        <v>Abschnitt/Maßnahme 2: Anschlussleitungen</v>
      </c>
      <c r="E2" s="41" t="str">
        <f>'Eingaben Hauptkanal'!H10</f>
        <v>Abschnitt/Maßnahme 3</v>
      </c>
      <c r="F2" s="41" t="str">
        <f>'Eingaben Hauptkanal'!I10</f>
        <v>Abschnitt/Maßnahme 4</v>
      </c>
      <c r="G2" s="41" t="str">
        <f>'Eingaben Hauptkanal'!J10</f>
        <v>Abschnitt/Maßnahme 5</v>
      </c>
      <c r="H2" s="41" t="s">
        <v>326</v>
      </c>
      <c r="I2" s="41" t="s">
        <v>327</v>
      </c>
    </row>
    <row r="3" spans="2:9" x14ac:dyDescent="0.25">
      <c r="B3" s="35" t="str">
        <f>'Eingaben Hauptkanal'!B24</f>
        <v>Baustelleneinrichtung</v>
      </c>
      <c r="C3" s="36">
        <f>'Eingaben Hauptkanal'!F24</f>
        <v>0</v>
      </c>
      <c r="D3" s="36">
        <f>'Eingaben Hauptkanal'!G24</f>
        <v>0</v>
      </c>
      <c r="E3" s="36">
        <f>'Eingaben Hauptkanal'!H24</f>
        <v>0</v>
      </c>
      <c r="F3" s="36">
        <f>'Eingaben Hauptkanal'!I24</f>
        <v>0</v>
      </c>
      <c r="G3" s="36">
        <f>'Eingaben Hauptkanal'!J24</f>
        <v>0</v>
      </c>
      <c r="H3" s="36" cm="1">
        <f t="array" ref="H3">SUM(IF(ISNUMBER(C3:G3),C3:G3))</f>
        <v>0</v>
      </c>
      <c r="I3" s="58" t="e">
        <f>H3/$H$8</f>
        <v>#DIV/0!</v>
      </c>
    </row>
    <row r="4" spans="2:9" x14ac:dyDescent="0.25">
      <c r="B4" s="35" t="str">
        <f>'Eingaben Hauptkanal'!B27</f>
        <v>Pumpen Abwasser/Grundwasser</v>
      </c>
      <c r="C4" s="36">
        <f>'Eingaben Hauptkanal'!F27</f>
        <v>0</v>
      </c>
      <c r="D4" s="36">
        <f>'Eingaben Hauptkanal'!G27</f>
        <v>0</v>
      </c>
      <c r="E4" s="36">
        <f>'Eingaben Hauptkanal'!H27</f>
        <v>0</v>
      </c>
      <c r="F4" s="36">
        <f>'Eingaben Hauptkanal'!I27</f>
        <v>0</v>
      </c>
      <c r="G4" s="36">
        <f>'Eingaben Hauptkanal'!J27</f>
        <v>0</v>
      </c>
      <c r="H4" s="36" cm="1">
        <f t="array" ref="H4">SUM(IF(ISNUMBER(C4:G4),C4:G4))</f>
        <v>0</v>
      </c>
      <c r="I4" s="58" t="e">
        <f t="shared" ref="I4:I8" si="0">H4/$H$8</f>
        <v>#DIV/0!</v>
      </c>
    </row>
    <row r="5" spans="2:9" x14ac:dyDescent="0.25">
      <c r="B5" s="35" t="str">
        <f>'Eingaben Hauptkanal'!B42</f>
        <v>Straßenarbeiten</v>
      </c>
      <c r="C5" s="36" t="e">
        <f>'Eingaben Hauptkanal'!F42</f>
        <v>#N/A</v>
      </c>
      <c r="D5" s="36" t="e">
        <f>'Eingaben Hauptkanal'!G42</f>
        <v>#N/A</v>
      </c>
      <c r="E5" s="36" t="e">
        <f>'Eingaben Hauptkanal'!H42</f>
        <v>#N/A</v>
      </c>
      <c r="F5" s="36" t="e">
        <f>'Eingaben Hauptkanal'!I42</f>
        <v>#N/A</v>
      </c>
      <c r="G5" s="36" t="e">
        <f>'Eingaben Hauptkanal'!J42</f>
        <v>#N/A</v>
      </c>
      <c r="H5" s="36" cm="1">
        <f t="array" ref="H5">SUM(IF(ISNUMBER(C5:G5),C5:G5))</f>
        <v>0</v>
      </c>
      <c r="I5" s="58" t="e">
        <f t="shared" si="0"/>
        <v>#DIV/0!</v>
      </c>
    </row>
    <row r="6" spans="2:9" x14ac:dyDescent="0.25">
      <c r="B6" s="35" t="str">
        <f>'Eingaben Hauptkanal'!B123</f>
        <v>Verbau + Bodenaushub</v>
      </c>
      <c r="C6" s="36">
        <f>'Eingaben Hauptkanal'!F123</f>
        <v>0</v>
      </c>
      <c r="D6" s="36">
        <f>'Eingaben Hauptkanal'!G123</f>
        <v>0</v>
      </c>
      <c r="E6" s="36">
        <f>'Eingaben Hauptkanal'!H123</f>
        <v>0</v>
      </c>
      <c r="F6" s="36">
        <f>'Eingaben Hauptkanal'!I123</f>
        <v>0</v>
      </c>
      <c r="G6" s="36">
        <f>'Eingaben Hauptkanal'!J123</f>
        <v>0</v>
      </c>
      <c r="H6" s="36" cm="1">
        <f t="array" ref="H6">SUM(IF(ISNUMBER(C6:G6),C6:G6))</f>
        <v>0</v>
      </c>
      <c r="I6" s="58" t="e">
        <f t="shared" si="0"/>
        <v>#DIV/0!</v>
      </c>
    </row>
    <row r="7" spans="2:9" x14ac:dyDescent="0.25">
      <c r="B7" s="35" t="str">
        <f>'Eingaben Hauptkanal'!B222</f>
        <v>Rohre + Schächte</v>
      </c>
      <c r="C7" s="36">
        <f>'Eingaben Hauptkanal'!F222</f>
        <v>0</v>
      </c>
      <c r="D7" s="36">
        <f>'Eingaben Hauptkanal'!G222</f>
        <v>0</v>
      </c>
      <c r="E7" s="36">
        <f>'Eingaben Hauptkanal'!H222</f>
        <v>0</v>
      </c>
      <c r="F7" s="36">
        <f>'Eingaben Hauptkanal'!I222</f>
        <v>0</v>
      </c>
      <c r="G7" s="36">
        <f>'Eingaben Hauptkanal'!J222</f>
        <v>0</v>
      </c>
      <c r="H7" s="36" cm="1">
        <f t="array" ref="H7">SUM(IF(ISNUMBER(C7:G7),C7:G7))</f>
        <v>0</v>
      </c>
      <c r="I7" s="58" t="e">
        <f t="shared" si="0"/>
        <v>#DIV/0!</v>
      </c>
    </row>
    <row r="8" spans="2:9" x14ac:dyDescent="0.25">
      <c r="B8" s="50" t="s">
        <v>325</v>
      </c>
      <c r="C8" s="51" t="e">
        <f>SUM(C3:C7)</f>
        <v>#N/A</v>
      </c>
      <c r="D8" s="51" t="e">
        <f>SUM(D3:D7)</f>
        <v>#N/A</v>
      </c>
      <c r="E8" s="51" t="e">
        <f t="shared" ref="E8:G8" si="1">SUM(E3:E7)</f>
        <v>#N/A</v>
      </c>
      <c r="F8" s="51" t="e">
        <f t="shared" si="1"/>
        <v>#N/A</v>
      </c>
      <c r="G8" s="51" t="e">
        <f t="shared" si="1"/>
        <v>#N/A</v>
      </c>
      <c r="H8" s="51" cm="1">
        <f t="array" ref="H8">SUM(IF(ISNUMBER(C8:G8),C8:G8))</f>
        <v>0</v>
      </c>
      <c r="I8" s="58" t="e">
        <f t="shared" si="0"/>
        <v>#DIV/0!</v>
      </c>
    </row>
    <row r="11" spans="2:9" x14ac:dyDescent="0.25">
      <c r="B11" s="50" t="s">
        <v>330</v>
      </c>
      <c r="C11" s="35">
        <f>'Eingaben Hauptkanal'!F21</f>
        <v>0</v>
      </c>
      <c r="D11" s="35">
        <f>'Eingaben Hauptkanal'!G21</f>
        <v>0</v>
      </c>
      <c r="E11" s="35">
        <f>'Eingaben Hauptkanal'!H21</f>
        <v>0</v>
      </c>
      <c r="F11" s="35">
        <f>'Eingaben Hauptkanal'!I21</f>
        <v>0</v>
      </c>
      <c r="G11" s="35">
        <f>'Eingaben Hauptkanal'!J21</f>
        <v>0</v>
      </c>
      <c r="H11" s="35">
        <f>SUM(C11:G11)</f>
        <v>0</v>
      </c>
    </row>
    <row r="13" spans="2:9" x14ac:dyDescent="0.25">
      <c r="B13" s="31" t="s">
        <v>329</v>
      </c>
    </row>
    <row r="14" spans="2:9" x14ac:dyDescent="0.25">
      <c r="B14" s="52"/>
      <c r="C14" s="41" t="str">
        <f>'Eingaben Hauptkanal'!F10</f>
        <v>Abschnitt/Maßnahme 1: Hauptkanal DN300</v>
      </c>
      <c r="D14" s="41" t="str">
        <f>'Eingaben Hauptkanal'!G10</f>
        <v>Abschnitt/Maßnahme 2: Anschlussleitungen</v>
      </c>
      <c r="E14" s="41" t="str">
        <f>'Eingaben Hauptkanal'!H10</f>
        <v>Abschnitt/Maßnahme 3</v>
      </c>
      <c r="F14" s="41" t="str">
        <f>'Eingaben Hauptkanal'!I10</f>
        <v>Abschnitt/Maßnahme 4</v>
      </c>
      <c r="G14" s="41" t="str">
        <f>'Eingaben Hauptkanal'!J10</f>
        <v>Abschnitt/Maßnahme 5</v>
      </c>
      <c r="H14" s="41" t="s">
        <v>326</v>
      </c>
      <c r="I14" s="41" t="s">
        <v>327</v>
      </c>
    </row>
    <row r="15" spans="2:9" x14ac:dyDescent="0.25">
      <c r="B15" s="35" t="str">
        <f>'Eingaben Hauptkanal'!B24</f>
        <v>Baustelleneinrichtung</v>
      </c>
      <c r="C15" s="36" t="e">
        <f>C3/C$11</f>
        <v>#DIV/0!</v>
      </c>
      <c r="D15" s="36" t="e">
        <f>D3/D$11</f>
        <v>#DIV/0!</v>
      </c>
      <c r="E15" s="36" t="e">
        <f t="shared" ref="E15:G15" si="2">E3/E$11</f>
        <v>#DIV/0!</v>
      </c>
      <c r="F15" s="36" t="e">
        <f t="shared" si="2"/>
        <v>#DIV/0!</v>
      </c>
      <c r="G15" s="36" t="e">
        <f t="shared" si="2"/>
        <v>#DIV/0!</v>
      </c>
      <c r="H15" s="36" t="e">
        <f>H3/H$11</f>
        <v>#DIV/0!</v>
      </c>
      <c r="I15" s="58" t="e">
        <f>I3</f>
        <v>#DIV/0!</v>
      </c>
    </row>
    <row r="16" spans="2:9" x14ac:dyDescent="0.25">
      <c r="B16" s="35" t="str">
        <f>'Eingaben Hauptkanal'!B27</f>
        <v>Pumpen Abwasser/Grundwasser</v>
      </c>
      <c r="C16" s="36" t="e">
        <f t="shared" ref="C16:H19" si="3">C4/C$11</f>
        <v>#DIV/0!</v>
      </c>
      <c r="D16" s="36" t="e">
        <f t="shared" si="3"/>
        <v>#DIV/0!</v>
      </c>
      <c r="E16" s="36" t="e">
        <f t="shared" si="3"/>
        <v>#DIV/0!</v>
      </c>
      <c r="F16" s="36" t="e">
        <f t="shared" si="3"/>
        <v>#DIV/0!</v>
      </c>
      <c r="G16" s="36" t="e">
        <f t="shared" si="3"/>
        <v>#DIV/0!</v>
      </c>
      <c r="H16" s="36" t="e">
        <f t="shared" si="3"/>
        <v>#DIV/0!</v>
      </c>
      <c r="I16" s="58" t="e">
        <f t="shared" ref="I16:I20" si="4">I4</f>
        <v>#DIV/0!</v>
      </c>
    </row>
    <row r="17" spans="2:9" x14ac:dyDescent="0.25">
      <c r="B17" s="35" t="str">
        <f>'Eingaben Hauptkanal'!B42</f>
        <v>Straßenarbeiten</v>
      </c>
      <c r="C17" s="36" t="e">
        <f t="shared" si="3"/>
        <v>#N/A</v>
      </c>
      <c r="D17" s="36" t="e">
        <f t="shared" si="3"/>
        <v>#N/A</v>
      </c>
      <c r="E17" s="36" t="e">
        <f t="shared" si="3"/>
        <v>#N/A</v>
      </c>
      <c r="F17" s="36" t="e">
        <f t="shared" si="3"/>
        <v>#N/A</v>
      </c>
      <c r="G17" s="36" t="e">
        <f t="shared" si="3"/>
        <v>#N/A</v>
      </c>
      <c r="H17" s="36" t="e">
        <f t="shared" si="3"/>
        <v>#DIV/0!</v>
      </c>
      <c r="I17" s="58" t="e">
        <f t="shared" si="4"/>
        <v>#DIV/0!</v>
      </c>
    </row>
    <row r="18" spans="2:9" x14ac:dyDescent="0.25">
      <c r="B18" s="35" t="str">
        <f>'Eingaben Hauptkanal'!B123</f>
        <v>Verbau + Bodenaushub</v>
      </c>
      <c r="C18" s="36" t="e">
        <f t="shared" si="3"/>
        <v>#DIV/0!</v>
      </c>
      <c r="D18" s="36" t="e">
        <f t="shared" si="3"/>
        <v>#DIV/0!</v>
      </c>
      <c r="E18" s="36" t="e">
        <f t="shared" si="3"/>
        <v>#DIV/0!</v>
      </c>
      <c r="F18" s="36" t="e">
        <f t="shared" si="3"/>
        <v>#DIV/0!</v>
      </c>
      <c r="G18" s="36" t="e">
        <f t="shared" si="3"/>
        <v>#DIV/0!</v>
      </c>
      <c r="H18" s="36" t="e">
        <f t="shared" si="3"/>
        <v>#DIV/0!</v>
      </c>
      <c r="I18" s="58" t="e">
        <f t="shared" si="4"/>
        <v>#DIV/0!</v>
      </c>
    </row>
    <row r="19" spans="2:9" x14ac:dyDescent="0.25">
      <c r="B19" s="35" t="str">
        <f>'Eingaben Hauptkanal'!B222</f>
        <v>Rohre + Schächte</v>
      </c>
      <c r="C19" s="36" t="e">
        <f t="shared" si="3"/>
        <v>#DIV/0!</v>
      </c>
      <c r="D19" s="36" t="e">
        <f t="shared" si="3"/>
        <v>#DIV/0!</v>
      </c>
      <c r="E19" s="36" t="e">
        <f t="shared" si="3"/>
        <v>#DIV/0!</v>
      </c>
      <c r="F19" s="36" t="e">
        <f t="shared" si="3"/>
        <v>#DIV/0!</v>
      </c>
      <c r="G19" s="36" t="e">
        <f t="shared" si="3"/>
        <v>#DIV/0!</v>
      </c>
      <c r="H19" s="36" t="e">
        <f t="shared" si="3"/>
        <v>#DIV/0!</v>
      </c>
      <c r="I19" s="58" t="e">
        <f t="shared" si="4"/>
        <v>#DIV/0!</v>
      </c>
    </row>
    <row r="20" spans="2:9" x14ac:dyDescent="0.25">
      <c r="B20" s="50" t="s">
        <v>325</v>
      </c>
      <c r="C20" s="51" t="e">
        <f>SUM(C15:C19)</f>
        <v>#DIV/0!</v>
      </c>
      <c r="D20" s="51" t="e">
        <f t="shared" ref="D20" si="5">SUM(D15:D19)</f>
        <v>#DIV/0!</v>
      </c>
      <c r="E20" s="51" t="e">
        <f t="shared" ref="E20" si="6">SUM(E15:E19)</f>
        <v>#DIV/0!</v>
      </c>
      <c r="F20" s="51" t="e">
        <f t="shared" ref="F20" si="7">SUM(F15:F19)</f>
        <v>#DIV/0!</v>
      </c>
      <c r="G20" s="51" t="e">
        <f t="shared" ref="G20" si="8">SUM(G15:G19)</f>
        <v>#DIV/0!</v>
      </c>
      <c r="H20" s="51" t="e">
        <f t="shared" ref="H20" si="9">SUM(H15:H19)</f>
        <v>#DIV/0!</v>
      </c>
      <c r="I20" s="58" t="e">
        <f t="shared" si="4"/>
        <v>#DIV/0!</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Deckblatt</vt:lpstr>
      <vt:lpstr>Eingaben Hauptkanal</vt:lpstr>
      <vt:lpstr>Dropdown Menüs</vt:lpstr>
      <vt:lpstr>Faktoren Abwasser</vt:lpstr>
      <vt:lpstr>Hilfsrechnungen&amp;Baustelleninfo</vt:lpstr>
      <vt:lpstr>Auswertung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Lütticke</dc:creator>
  <cp:lastModifiedBy>Anna Jäntschi</cp:lastModifiedBy>
  <dcterms:created xsi:type="dcterms:W3CDTF">2015-06-05T18:19:34Z</dcterms:created>
  <dcterms:modified xsi:type="dcterms:W3CDTF">2026-08-14T07:48:57Z</dcterms:modified>
</cp:coreProperties>
</file>